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1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6.xml.rels" ContentType="application/vnd.openxmlformats-package.relationships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media/image13.png" ContentType="image/png"/>
  <Override PartName="/xl/media/image14.png" ContentType="image/png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drawings/_rels/drawing1.xml.rels" ContentType="application/vnd.openxmlformats-package.relationships+xml"/>
  <Override PartName="/xl/comments4.xml" ContentType="application/vnd.openxmlformats-officedocument.spreadsheetml.comment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. Destinação final" sheetId="1" state="visible" r:id="rId2"/>
    <sheet name="2.Encargos Sociais" sheetId="2" state="visible" r:id="rId3"/>
    <sheet name="3.CAGED" sheetId="3" state="visible" r:id="rId4"/>
    <sheet name="4.BDI" sheetId="4" state="visible" r:id="rId5"/>
    <sheet name="5. Depreciação" sheetId="5" state="visible" r:id="rId6"/>
    <sheet name="6.Remuneração de capital" sheetId="6" state="visible" r:id="rId7"/>
  </sheets>
  <definedNames>
    <definedName function="false" hidden="false" localSheetId="0" name="_xlnm.Print_Titles" vbProcedure="false">'1. Destinação final'!$1:$5</definedName>
    <definedName function="false" hidden="false" localSheetId="1" name="_xlnm.Print_Area" vbProcedure="false">'2.Encargos Sociais'!$A$1:$C$36</definedName>
    <definedName function="false" hidden="false" name="AbaDeprec" vbProcedure="false">'5. Depreciação'!$A$1</definedName>
    <definedName function="false" hidden="false" name="AbaRemun" vbProcedure="false">'6.Remuneração de capital'!$A$1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7" authorId="0">
      <text>
        <r>
          <rPr>
            <sz val="9"/>
            <color rgb="FF000000"/>
            <rFont val="Tahoma"/>
            <family val="2"/>
            <charset val="1"/>
          </rPr>
          <t xml:space="preserve">Qualquer custo previsto no edital e não contemplado nesta planilha modelo deverá ser devidamente incluído
</t>
        </r>
      </text>
    </comment>
    <comment ref="A128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Especificar somente quando for exigido no Projeto Básico
</t>
        </r>
      </text>
    </comment>
    <comment ref="B33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Informar o fator de utilização das equipes de coleta. 
Por exemplo:
Equipes com utilização integral = 100%
Equipes com utilização parcial = n° horas trabalhadas por semana /44 horas
</t>
        </r>
      </text>
    </comment>
    <comment ref="B100" authorId="0">
      <text>
        <r>
          <rPr>
            <sz val="9"/>
            <color rgb="FF000000"/>
            <rFont val="Tahoma"/>
            <family val="2"/>
            <charset val="1"/>
          </rPr>
          <t xml:space="preserve">Informar a quilometragem mensal percorrida, de acordo com o projeto básico
</t>
        </r>
      </text>
    </comment>
    <comment ref="C41" authorId="0">
      <text>
        <r>
          <rPr>
            <sz val="9"/>
            <color rgb="FF000000"/>
            <rFont val="Tahoma"/>
            <family val="2"/>
            <charset val="1"/>
          </rPr>
          <t xml:space="preserve">Preencher a planilha Encargos Sociais e CAGED </t>
        </r>
      </text>
    </comment>
    <comment ref="C43" authorId="0">
      <text>
        <r>
          <rPr>
            <sz val="9"/>
            <color rgb="FF000000"/>
            <rFont val="Tahoma"/>
            <family val="2"/>
            <charset val="1"/>
          </rPr>
          <t xml:space="preserve">Informar a quantidade de trabalhadores na função</t>
        </r>
      </text>
    </comment>
    <comment ref="C56" authorId="0">
      <text>
        <r>
          <rPr>
            <sz val="9"/>
            <color rgb="FF000000"/>
            <rFont val="Tahoma"/>
            <family val="2"/>
            <charset val="1"/>
          </rPr>
          <t xml:space="preserve">Informar a durabilidade estimada em meses, para cada EPI
</t>
        </r>
      </text>
    </comment>
    <comment ref="C57" authorId="0">
      <text>
        <r>
          <rPr>
            <sz val="9"/>
            <color rgb="FF000000"/>
            <rFont val="Tahoma"/>
            <family val="2"/>
            <charset val="1"/>
          </rPr>
          <t xml:space="preserve">Informar a durabilidade estimada em meses, para cada EPI
</t>
        </r>
      </text>
    </comment>
    <comment ref="C58" authorId="0">
      <text>
        <r>
          <rPr>
            <sz val="9"/>
            <color rgb="FF000000"/>
            <rFont val="Tahoma"/>
            <family val="2"/>
            <charset val="1"/>
          </rPr>
          <t xml:space="preserve">Informar a durabilidade estimada em meses, para cada EPI
</t>
        </r>
      </text>
    </comment>
    <comment ref="C59" authorId="0">
      <text>
        <r>
          <rPr>
            <sz val="9"/>
            <color rgb="FF000000"/>
            <rFont val="Tahoma"/>
            <family val="2"/>
            <charset val="1"/>
          </rPr>
          <t xml:space="preserve">Informar a durabilidade estimada em meses, para cada EPI
</t>
        </r>
      </text>
    </comment>
    <comment ref="C60" authorId="0">
      <text>
        <r>
          <rPr>
            <sz val="9"/>
            <color rgb="FF000000"/>
            <rFont val="Tahoma"/>
            <family val="2"/>
            <charset val="1"/>
          </rPr>
          <t xml:space="preserve">Informar a durabilidade estimada em meses, para cada EPI
</t>
        </r>
      </text>
    </comment>
    <comment ref="C72" authorId="0">
      <text>
        <r>
          <rPr>
            <sz val="9"/>
            <color rgb="FF000000"/>
            <rFont val="Tahoma"/>
            <family val="2"/>
            <charset val="1"/>
          </rPr>
          <t xml:space="preserve">Informar a vida útil estimada para o caminhão, em anos</t>
        </r>
      </text>
    </comment>
    <comment ref="C73" authorId="0">
      <text>
        <r>
          <rPr>
            <sz val="9"/>
            <color rgb="FF000000"/>
            <rFont val="Tahoma"/>
            <family val="2"/>
            <charset val="1"/>
          </rPr>
          <t xml:space="preserve">Na elaboração do orçamento-base da licitação, informar 0 (zero). Na proposta da licitante, informar a idade do veículo proposto.</t>
        </r>
      </text>
    </comment>
    <comment ref="C74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Informar o valor da depreciação do caminhão, adotando o valor sugerido pelo TCE ou outro valor estimado 
</t>
        </r>
      </text>
    </comment>
    <comment ref="C77" authorId="0">
      <text>
        <r>
          <rPr>
            <sz val="9"/>
            <color rgb="FF000000"/>
            <rFont val="Tahoma"/>
            <family val="2"/>
            <charset val="1"/>
          </rPr>
          <t xml:space="preserve">Informar a quantidade de caminhões compactadores do respectivo modelo</t>
        </r>
      </text>
    </comment>
    <comment ref="C83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Informar a taxa de juros anual para remuneração do capital. Recomenda-se o uso da Taxa SELIC
</t>
        </r>
      </text>
    </comment>
    <comment ref="C102" authorId="0">
      <text>
        <r>
          <rPr>
            <sz val="9"/>
            <color rgb="FF000000"/>
            <rFont val="Tahoma"/>
            <family val="2"/>
            <charset val="1"/>
          </rPr>
          <t xml:space="preserve">Informar o consumo estimado do veículo em km/l</t>
        </r>
      </text>
    </comment>
    <comment ref="C104" authorId="0">
      <text>
        <r>
          <rPr>
            <sz val="9"/>
            <color rgb="FF000000"/>
            <rFont val="Tahoma"/>
            <family val="2"/>
            <charset val="1"/>
          </rPr>
          <t xml:space="preserve">Informar o consumo de óleo do motor a cada 1000km</t>
        </r>
      </text>
    </comment>
    <comment ref="C106" authorId="0">
      <text>
        <r>
          <rPr>
            <sz val="9"/>
            <color rgb="FF000000"/>
            <rFont val="Tahoma"/>
            <family val="2"/>
            <charset val="1"/>
          </rPr>
          <t xml:space="preserve">Informar o consumo de graxa a cada 1000km</t>
        </r>
      </text>
    </comment>
    <comment ref="C119" authorId="0">
      <text>
        <r>
          <rPr>
            <sz val="9"/>
            <color rgb="FF000000"/>
            <rFont val="Tahoma"/>
            <family val="2"/>
            <charset val="1"/>
          </rPr>
          <t xml:space="preserve">Informar a quantidade de pneus novos de 1 caminhão</t>
        </r>
      </text>
    </comment>
    <comment ref="C120" authorId="0">
      <text>
        <r>
          <rPr>
            <sz val="9"/>
            <color rgb="FF000000"/>
            <rFont val="Tahoma"/>
            <family val="2"/>
            <charset val="1"/>
          </rPr>
          <t xml:space="preserve">Informar o número de recapagens por pneu</t>
        </r>
      </text>
    </comment>
    <comment ref="C122" authorId="0">
      <text>
        <r>
          <rPr>
            <sz val="9"/>
            <color rgb="FF000000"/>
            <rFont val="Tahoma"/>
            <family val="2"/>
            <charset val="1"/>
          </rPr>
          <t xml:space="preserve">Informar a durabilidade média dos pneus considerando as recapagens, em km
</t>
        </r>
      </text>
    </comment>
    <comment ref="C138" authorId="0">
      <text>
        <r>
          <rPr>
            <sz val="9"/>
            <color rgb="FF000000"/>
            <rFont val="Tahoma"/>
            <family val="2"/>
            <charset val="1"/>
          </rPr>
          <t xml:space="preserve">Preencher a aba 4.BDI</t>
        </r>
      </text>
    </comment>
    <comment ref="D38" authorId="0">
      <text>
        <r>
          <rPr>
            <sz val="9"/>
            <color rgb="FF000000"/>
            <rFont val="Tahoma"/>
            <family val="2"/>
            <charset val="1"/>
          </rPr>
          <t xml:space="preserve">Informar o Piso da categoria fixado na Convenção Coletiva</t>
        </r>
      </text>
    </comment>
    <comment ref="D39" authorId="0">
      <text>
        <r>
          <rPr>
            <sz val="9"/>
            <color rgb="FF000000"/>
            <rFont val="Tahoma"/>
            <family val="2"/>
            <charset val="1"/>
          </rPr>
          <t xml:space="preserve">Informar o valor do salário Mínimo Nacional</t>
        </r>
      </text>
    </comment>
    <comment ref="D48" authorId="0">
      <text>
        <r>
          <rPr>
            <sz val="9"/>
            <color rgb="FF000000"/>
            <rFont val="Tahoma"/>
            <family val="2"/>
            <charset val="1"/>
          </rPr>
          <t xml:space="preserve">Informar o valor mensal do auxilio alimentação conforme Convenção Coletiva da categoria</t>
        </r>
      </text>
    </comment>
    <comment ref="D61" authorId="0">
      <text>
        <r>
          <rPr>
            <sz val="9"/>
            <color rgb="FF000000"/>
            <rFont val="Tahoma"/>
            <family val="2"/>
            <charset val="1"/>
          </rPr>
          <t xml:space="preserve">Informar o valor mensal de higienização de uniforme para 1 funcionário</t>
        </r>
      </text>
    </comment>
    <comment ref="D71" authorId="0">
      <text>
        <r>
          <rPr>
            <sz val="9"/>
            <color rgb="FF000000"/>
            <rFont val="Tahoma"/>
            <family val="2"/>
            <charset val="1"/>
          </rPr>
          <t xml:space="preserve">Informar o preço unitário do chassis do caminhão de coleta</t>
        </r>
      </text>
    </comment>
    <comment ref="D94" authorId="0">
      <text>
        <r>
          <rPr>
            <sz val="9"/>
            <color rgb="FF000000"/>
            <rFont val="Tahoma"/>
            <family val="2"/>
            <charset val="1"/>
          </rPr>
          <t xml:space="preserve">Informar o valor do seguro obrigatório e licenciamento anual de um caminhão
</t>
        </r>
      </text>
    </comment>
    <comment ref="D95" authorId="0">
      <text>
        <r>
          <rPr>
            <sz val="9"/>
            <color rgb="FF000000"/>
            <rFont val="Tahoma"/>
            <family val="2"/>
            <charset val="1"/>
          </rPr>
          <t xml:space="preserve">Informar o valor do seguro contra terceiros de um caminhão, se houver
</t>
        </r>
      </text>
    </comment>
    <comment ref="D102" authorId="0">
      <text>
        <r>
          <rPr>
            <sz val="9"/>
            <color rgb="FF000000"/>
            <rFont val="Tahoma"/>
            <family val="2"/>
            <charset val="1"/>
          </rPr>
          <t xml:space="preserve">Informar o preço unitário do combustivel
</t>
        </r>
      </text>
    </comment>
    <comment ref="D104" authorId="0">
      <text>
        <r>
          <rPr>
            <sz val="9"/>
            <color rgb="FF000000"/>
            <rFont val="Tahoma"/>
            <family val="2"/>
            <charset val="1"/>
          </rPr>
          <t xml:space="preserve">Informar o preço unitário do litro do óleo do motor
</t>
        </r>
      </text>
    </comment>
    <comment ref="D106" authorId="0">
      <text>
        <r>
          <rPr>
            <sz val="9"/>
            <color rgb="FF000000"/>
            <rFont val="Tahoma"/>
            <family val="2"/>
            <charset val="1"/>
          </rPr>
          <t xml:space="preserve">Informar o preço unitário do litro da graxa
</t>
        </r>
      </text>
    </comment>
    <comment ref="D113" authorId="0">
      <text>
        <r>
          <rPr>
            <sz val="9"/>
            <color rgb="FF000000"/>
            <rFont val="Tahoma"/>
            <family val="2"/>
            <charset val="1"/>
          </rPr>
          <t xml:space="preserve">Informar o custo de manutenção em R$/km rodado
</t>
        </r>
      </text>
    </comment>
    <comment ref="D119" authorId="0">
      <text>
        <r>
          <rPr>
            <sz val="9"/>
            <color rgb="FF000000"/>
            <rFont val="Tahoma"/>
            <family val="2"/>
            <charset val="1"/>
          </rPr>
          <t xml:space="preserve">Informar o preço unitário de cada pneu
</t>
        </r>
      </text>
    </comment>
    <comment ref="D121" authorId="0">
      <text>
        <r>
          <rPr>
            <sz val="9"/>
            <color rgb="FF000000"/>
            <rFont val="Tahoma"/>
            <family val="2"/>
            <charset val="1"/>
          </rPr>
          <t xml:space="preserve">Informar o preço unitário de cada recapagem
</t>
        </r>
      </text>
    </comment>
    <comment ref="D130" authorId="0">
      <text>
        <r>
          <rPr>
            <sz val="9"/>
            <color rgb="FF000000"/>
            <rFont val="Tahoma"/>
            <family val="2"/>
            <charset val="1"/>
          </rPr>
          <t xml:space="preserve">Informar o valor unitário cobrado pelo aterro sanitário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G37" authorId="0">
      <text>
        <r>
          <rPr>
            <sz val="10"/>
            <rFont val="Arial"/>
            <family val="0"/>
            <charset val="1"/>
          </rPr>
          <t xml:space="preserve">Jorge Mesquita:
</t>
        </r>
        <r>
          <rPr>
            <sz val="9"/>
            <color rgb="FF000000"/>
            <rFont val="Tahoma"/>
            <family val="2"/>
            <charset val="1"/>
          </rPr>
          <t xml:space="preserve">Criar um tipo de arredondamento.
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10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Informar o % de Administração Central estimado
</t>
        </r>
      </text>
    </comment>
    <comment ref="C11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Informar o % de Seguros, Riscos e Garantia estimado
</t>
        </r>
      </text>
    </comment>
    <comment ref="C12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Informar o % de Lucro estimado
</t>
        </r>
      </text>
    </comment>
    <comment ref="C14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Informar o percentual de ISS, de acordo com a legislação tributária do município onde serão prestados os serviços. De 2% até o limite de 5%.
</t>
        </r>
      </text>
    </comment>
    <comment ref="C15" authorId="0">
      <text>
        <r>
          <rPr>
            <sz val="10"/>
            <rFont val="Arial"/>
            <family val="0"/>
            <charset val="1"/>
          </rPr>
          <t xml:space="preserve">Informar o valor estimado de PIS/COFINS. 
</t>
        </r>
        <r>
          <rPr>
            <sz val="9"/>
            <color rgb="FF000000"/>
            <rFont val="Tahoma"/>
            <family val="2"/>
            <charset val="1"/>
          </rPr>
          <t xml:space="preserve">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  <comment ref="E13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Informar o valor anual da taxa financeira, em percentual. Admite-se utilizar a SELIC</t>
        </r>
      </text>
    </comment>
    <comment ref="E14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Informar a média de dias úteis entre data de pagamento prevista no contrato e a data final do período de adimplemento da parcela
</t>
        </r>
      </text>
    </comment>
  </commentList>
</comments>
</file>

<file path=xl/sharedStrings.xml><?xml version="1.0" encoding="utf-8"?>
<sst xmlns="http://schemas.openxmlformats.org/spreadsheetml/2006/main" count="336" uniqueCount="239">
  <si>
    <t xml:space="preserve">Edital x47/2019</t>
  </si>
  <si>
    <t xml:space="preserve">PREFEITURA MUNICIPAL DE CANELA</t>
  </si>
  <si>
    <t xml:space="preserve">Secretaria do Meio Ambiente, Trânsito e Urbanismo</t>
  </si>
  <si>
    <t xml:space="preserve">Destino final</t>
  </si>
  <si>
    <t xml:space="preserve">Planilha de Composição de Custos</t>
  </si>
  <si>
    <t xml:space="preserve">Orçamento Sintético</t>
  </si>
  <si>
    <t xml:space="preserve">Descrição do Item</t>
  </si>
  <si>
    <t xml:space="preserve">Custo (R$/mês)</t>
  </si>
  <si>
    <t xml:space="preserve">%</t>
  </si>
  <si>
    <t xml:space="preserve">PREÇO TOTAL MENSAL COM A DESTINAÇÃO FINAL</t>
  </si>
  <si>
    <t xml:space="preserve">Quantitativos</t>
  </si>
  <si>
    <t xml:space="preserve">Mão-de-obra</t>
  </si>
  <si>
    <t xml:space="preserve">Total de mão-de-obra (postos de trabalho)</t>
  </si>
  <si>
    <t xml:space="preserve">Veículos e Equipamentos</t>
  </si>
  <si>
    <t xml:space="preserve">Quantidade</t>
  </si>
  <si>
    <t xml:space="preserve">Fator de utilização (FU)</t>
  </si>
  <si>
    <t xml:space="preserve">( 01 viagem de carreta por dia, cerca de 27 toneladas)</t>
  </si>
  <si>
    <t xml:space="preserve">1. Mão-de-obra</t>
  </si>
  <si>
    <t xml:space="preserve">1.1. Motorista </t>
  </si>
  <si>
    <t xml:space="preserve">Discriminação</t>
  </si>
  <si>
    <t xml:space="preserve">Unidade</t>
  </si>
  <si>
    <t xml:space="preserve">Custo unitário</t>
  </si>
  <si>
    <t xml:space="preserve">Subtotal</t>
  </si>
  <si>
    <r>
      <rPr>
        <b val="true"/>
        <sz val="11"/>
        <rFont val="Calibri"/>
        <family val="2"/>
        <charset val="1"/>
      </rPr>
      <t xml:space="preserve">Total </t>
    </r>
    <r>
      <rPr>
        <b val="true"/>
        <u val="single"/>
        <sz val="11"/>
        <rFont val="Calibri"/>
        <family val="2"/>
        <charset val="1"/>
      </rPr>
      <t xml:space="preserve">(R$)</t>
    </r>
  </si>
  <si>
    <t xml:space="preserve">Piso da categoria (1)</t>
  </si>
  <si>
    <t xml:space="preserve">mês</t>
  </si>
  <si>
    <t xml:space="preserve">Salário mínimo nacional (2)</t>
  </si>
  <si>
    <t xml:space="preserve">Soma</t>
  </si>
  <si>
    <t xml:space="preserve">Encargos Sociais</t>
  </si>
  <si>
    <t xml:space="preserve">Total por Motorista</t>
  </si>
  <si>
    <t xml:space="preserve">Total do Efetivo</t>
  </si>
  <si>
    <t xml:space="preserve">homem</t>
  </si>
  <si>
    <t xml:space="preserve">Fator de util.</t>
  </si>
  <si>
    <t xml:space="preserve">1.7. Auxílio Alimentação (mensal)</t>
  </si>
  <si>
    <t xml:space="preserve">Motorista Carreta de estrada</t>
  </si>
  <si>
    <t xml:space="preserve">unidade</t>
  </si>
  <si>
    <t xml:space="preserve">1. Custo Mensal com Mão-de-obra </t>
  </si>
  <si>
    <t xml:space="preserve">2. Uniformes e Equipamentos de Proteção Individual</t>
  </si>
  <si>
    <t xml:space="preserve">2.1. Uniformes e EPIs para Motorista</t>
  </si>
  <si>
    <t xml:space="preserve">Durabilidade (meses)</t>
  </si>
  <si>
    <t xml:space="preserve">Calça</t>
  </si>
  <si>
    <t xml:space="preserve">Camiseta</t>
  </si>
  <si>
    <t xml:space="preserve">Botina de segurança c/ palmilha aço</t>
  </si>
  <si>
    <t xml:space="preserve">par</t>
  </si>
  <si>
    <t xml:space="preserve">Conjunto de chuva</t>
  </si>
  <si>
    <t xml:space="preserve">Protetor solar FPS 30</t>
  </si>
  <si>
    <t xml:space="preserve">frasco 120g</t>
  </si>
  <si>
    <t xml:space="preserve">Higienização de uniformes e EPIs</t>
  </si>
  <si>
    <t xml:space="preserve">R$ mensal</t>
  </si>
  <si>
    <t xml:space="preserve">2. Custo Mensal com Uniformes e EPIs</t>
  </si>
  <si>
    <t xml:space="preserve">3. Veículos e Equipamentos</t>
  </si>
  <si>
    <t xml:space="preserve">3.1. Veículo para transporte de rejeitos</t>
  </si>
  <si>
    <t xml:space="preserve">3.1.1. Depreciação</t>
  </si>
  <si>
    <t xml:space="preserve">Custo de aquisição do chassis+Caçamba</t>
  </si>
  <si>
    <t xml:space="preserve">Vida útil do chassis</t>
  </si>
  <si>
    <t xml:space="preserve">anos</t>
  </si>
  <si>
    <t xml:space="preserve">Idade do veículo</t>
  </si>
  <si>
    <t xml:space="preserve">Depreciação do chassis+Caçamba</t>
  </si>
  <si>
    <t xml:space="preserve">Depreciação mensal veículo para transporte</t>
  </si>
  <si>
    <t xml:space="preserve">Total por veículo</t>
  </si>
  <si>
    <t xml:space="preserve">Total da frota</t>
  </si>
  <si>
    <t xml:space="preserve">3.1.2. Remuneração do Capital</t>
  </si>
  <si>
    <t xml:space="preserve">Custo do chassis</t>
  </si>
  <si>
    <t xml:space="preserve">Taxa de juros anual nominal</t>
  </si>
  <si>
    <t xml:space="preserve">Valor do veículo proposto (V0)</t>
  </si>
  <si>
    <t xml:space="preserve">R$</t>
  </si>
  <si>
    <t xml:space="preserve">Investimento médio total do chassis</t>
  </si>
  <si>
    <t xml:space="preserve">Remuneração mensal de capital do chassis</t>
  </si>
  <si>
    <t xml:space="preserve">Obs: Taxa Selic, (abril de 2018)</t>
  </si>
  <si>
    <t xml:space="preserve">3.1.3. Impostos e Seguros</t>
  </si>
  <si>
    <t xml:space="preserve">IPVA</t>
  </si>
  <si>
    <t xml:space="preserve">Licenciamento e Seguro obrigatório</t>
  </si>
  <si>
    <t xml:space="preserve">Seguro contra terceiros</t>
  </si>
  <si>
    <t xml:space="preserve">Impostos e seguros mensais</t>
  </si>
  <si>
    <t xml:space="preserve">3.1.4. Consumos</t>
  </si>
  <si>
    <t xml:space="preserve">Quilometragem mensal</t>
  </si>
  <si>
    <t xml:space="preserve">Consumo</t>
  </si>
  <si>
    <t xml:space="preserve">Custo de óleo diesel / km rodado</t>
  </si>
  <si>
    <t xml:space="preserve">km/l</t>
  </si>
  <si>
    <t xml:space="preserve">Custo mensal com óleo diesel</t>
  </si>
  <si>
    <t xml:space="preserve">km</t>
  </si>
  <si>
    <t xml:space="preserve">Custo de óleo do motor /1.000 km rodados</t>
  </si>
  <si>
    <t xml:space="preserve">l/1.000 km</t>
  </si>
  <si>
    <t xml:space="preserve">Custo mensal com óleo do motor</t>
  </si>
  <si>
    <t xml:space="preserve">Custo de graxa /1.000 km rodados</t>
  </si>
  <si>
    <t xml:space="preserve">kg/1.000 km</t>
  </si>
  <si>
    <t xml:space="preserve">Custo mensal com graxa</t>
  </si>
  <si>
    <t xml:space="preserve">Custo com consumos/km rodado</t>
  </si>
  <si>
    <t xml:space="preserve">R$/km rodado</t>
  </si>
  <si>
    <t xml:space="preserve">3.1.5. Manutenção</t>
  </si>
  <si>
    <t xml:space="preserve">Custo de manutenção dos caminhões</t>
  </si>
  <si>
    <t xml:space="preserve">Despesas com pesagem dos resíduos coletados</t>
  </si>
  <si>
    <t xml:space="preserve">pesagem</t>
  </si>
  <si>
    <t xml:space="preserve">3.1.6. Pneus</t>
  </si>
  <si>
    <t xml:space="preserve">Custo do jogo de pneus </t>
  </si>
  <si>
    <t xml:space="preserve">Número de recapagens por pneu</t>
  </si>
  <si>
    <t xml:space="preserve">Custo de recapagem</t>
  </si>
  <si>
    <t xml:space="preserve">Custo jg. compl. + 2 recap./ km rodado</t>
  </si>
  <si>
    <t xml:space="preserve">km/jogo</t>
  </si>
  <si>
    <t xml:space="preserve">Custo mensal com pneus</t>
  </si>
  <si>
    <t xml:space="preserve">3. Custo Mensal com destino final</t>
  </si>
  <si>
    <t xml:space="preserve">Destino final </t>
  </si>
  <si>
    <t xml:space="preserve">Ton</t>
  </si>
  <si>
    <t xml:space="preserve">Custo Mensal com envio de rejeitos ao aterro sanitário</t>
  </si>
  <si>
    <t xml:space="preserve">CUSTO TOTAL MENSAL COM DESPESAS OPERACIONAIS</t>
  </si>
  <si>
    <t xml:space="preserve">4. Benefícios e Despesas Indiretas - BDI</t>
  </si>
  <si>
    <t xml:space="preserve">Benefícios e despesas indiretas</t>
  </si>
  <si>
    <t xml:space="preserve">CUSTO MENSAL COM BDI</t>
  </si>
  <si>
    <t xml:space="preserve">Total de kms rodados por mês </t>
  </si>
  <si>
    <t xml:space="preserve">Custo do km rodado em reais </t>
  </si>
  <si>
    <t xml:space="preserve">PREÇO MENSAL TOTAL</t>
  </si>
  <si>
    <t xml:space="preserve">PREÇO MENSAL POR TONELADA (R$/ton)</t>
  </si>
  <si>
    <t xml:space="preserve">Orientações para preenchimento:</t>
  </si>
  <si>
    <t xml:space="preserve">1. Preencha previamente os dados de entrada na planilha 3.CAGED</t>
  </si>
  <si>
    <t xml:space="preserve">2. Composição dos Encargos Sociais </t>
  </si>
  <si>
    <t xml:space="preserve">Código</t>
  </si>
  <si>
    <t xml:space="preserve">Descrição</t>
  </si>
  <si>
    <t xml:space="preserve">Valor</t>
  </si>
  <si>
    <t xml:space="preserve">A1</t>
  </si>
  <si>
    <t xml:space="preserve">INSS</t>
  </si>
  <si>
    <t xml:space="preserve">A2</t>
  </si>
  <si>
    <t xml:space="preserve">SESI</t>
  </si>
  <si>
    <t xml:space="preserve">A3</t>
  </si>
  <si>
    <t xml:space="preserve">SENAI</t>
  </si>
  <si>
    <t xml:space="preserve">A4</t>
  </si>
  <si>
    <t xml:space="preserve">INCRA</t>
  </si>
  <si>
    <t xml:space="preserve">A5</t>
  </si>
  <si>
    <t xml:space="preserve">SEBRAE</t>
  </si>
  <si>
    <t xml:space="preserve">A6</t>
  </si>
  <si>
    <t xml:space="preserve">Salário educação</t>
  </si>
  <si>
    <t xml:space="preserve">A7</t>
  </si>
  <si>
    <t xml:space="preserve">Seguro contra acidentes de trabalho</t>
  </si>
  <si>
    <t xml:space="preserve">A8</t>
  </si>
  <si>
    <t xml:space="preserve">FGTS</t>
  </si>
  <si>
    <t xml:space="preserve">A</t>
  </si>
  <si>
    <t xml:space="preserve">SOMA GRUPO A</t>
  </si>
  <si>
    <t xml:space="preserve">B1</t>
  </si>
  <si>
    <t xml:space="preserve">Férias gozadas</t>
  </si>
  <si>
    <t xml:space="preserve">B2</t>
  </si>
  <si>
    <t xml:space="preserve">13º salário</t>
  </si>
  <si>
    <t xml:space="preserve">B3</t>
  </si>
  <si>
    <t xml:space="preserve">Licença Paternidade</t>
  </si>
  <si>
    <t xml:space="preserve">B4</t>
  </si>
  <si>
    <t xml:space="preserve">Faltas justificadas</t>
  </si>
  <si>
    <t xml:space="preserve">B5</t>
  </si>
  <si>
    <t xml:space="preserve">Auxilio acidente de trabalho</t>
  </si>
  <si>
    <t xml:space="preserve">B6</t>
  </si>
  <si>
    <t xml:space="preserve">Auxilio doença</t>
  </si>
  <si>
    <t xml:space="preserve">B</t>
  </si>
  <si>
    <t xml:space="preserve">SOMA GRUPO B</t>
  </si>
  <si>
    <t xml:space="preserve">C1</t>
  </si>
  <si>
    <t xml:space="preserve">Aviso prévio indenizado</t>
  </si>
  <si>
    <t xml:space="preserve">C2</t>
  </si>
  <si>
    <t xml:space="preserve">Férias indenizadas </t>
  </si>
  <si>
    <t xml:space="preserve">C3</t>
  </si>
  <si>
    <t xml:space="preserve">Férias indenizadas s/ aviso previo inden.</t>
  </si>
  <si>
    <t xml:space="preserve">C4</t>
  </si>
  <si>
    <t xml:space="preserve">Depósito rescisão sem justa causa</t>
  </si>
  <si>
    <t xml:space="preserve">C5</t>
  </si>
  <si>
    <t xml:space="preserve">Indenização adicional</t>
  </si>
  <si>
    <t xml:space="preserve">C</t>
  </si>
  <si>
    <t xml:space="preserve">SOMA GRUPO C</t>
  </si>
  <si>
    <t xml:space="preserve">D1</t>
  </si>
  <si>
    <t xml:space="preserve">Reincidência de Grupo A sobre Grupo B</t>
  </si>
  <si>
    <t xml:space="preserve">D2</t>
  </si>
  <si>
    <t xml:space="preserve">Reincidência de Grupo A sobre aviso prévio indenizado</t>
  </si>
  <si>
    <t xml:space="preserve">D</t>
  </si>
  <si>
    <t xml:space="preserve">SOMA GRUPO D</t>
  </si>
  <si>
    <t xml:space="preserve">SOMA (A+B+C+D)</t>
  </si>
  <si>
    <t xml:space="preserve">CÁLCULO DAS VERBAS INDENIZATÓRIAS DOS EMPREGADOS NO SETOR DE COLETA DE RSU</t>
  </si>
  <si>
    <t xml:space="preserve">Para preencher esta planilha siga os passos 1 a 5:</t>
  </si>
  <si>
    <t xml:space="preserve">1. Acesse o Portal do CAGED no link http://bi.mte.gov.br/cagedestabelecimento/pages/consulta.xhtml </t>
  </si>
  <si>
    <t xml:space="preserve">2. Na Especificação da Consulta, selecione "Demonstrativo por período" e informe as competências relativas ao período Inicial e Final (últimos 12 meses)</t>
  </si>
  <si>
    <t xml:space="preserve">3. Nível Geográfico: selecione "Unidade da Federação" e marque a opção "Rio Grande do Sul"</t>
  </si>
  <si>
    <t xml:space="preserve">4. Nível Setorial: selecione "Classe de atividade econômica segundo a classificação CNAE – versão 2.0 (669 categorias)" e marque a opção "38114 – Coleta de Resíduos Não-Perigosos"</t>
  </si>
  <si>
    <t xml:space="preserve">5. Clique em Gerar Relatório</t>
  </si>
  <si>
    <t xml:space="preserve">6. Preencha as células em amarelo</t>
  </si>
  <si>
    <t xml:space="preserve">3. CAGED</t>
  </si>
  <si>
    <t xml:space="preserve">Rio Grande do Sul  - Coleta de Resíduos Não-Perigosos - CNAE 38114</t>
  </si>
  <si>
    <t xml:space="preserve">Admissões</t>
  </si>
  <si>
    <t xml:space="preserve">Desligamentos</t>
  </si>
  <si>
    <t xml:space="preserve">Dispensados com justa causa</t>
  </si>
  <si>
    <t xml:space="preserve">Dispensados sem justa causa</t>
  </si>
  <si>
    <t xml:space="preserve">Espontâneos</t>
  </si>
  <si>
    <t xml:space="preserve">Fim de contrato por prazo determinado</t>
  </si>
  <si>
    <t xml:space="preserve">Término de contrato</t>
  </si>
  <si>
    <t xml:space="preserve">Aposentados</t>
  </si>
  <si>
    <t xml:space="preserve">Mortos</t>
  </si>
  <si>
    <t xml:space="preserve">Transferência de saída</t>
  </si>
  <si>
    <t xml:space="preserve"> </t>
  </si>
  <si>
    <t xml:space="preserve">Indicadores</t>
  </si>
  <si>
    <t xml:space="preserve">Estoque recuperado início do Período 01-12-2016</t>
  </si>
  <si>
    <t xml:space="preserve">Estoque recuperado final do Período 30-11-2017</t>
  </si>
  <si>
    <t xml:space="preserve">Variação Emprego Absoluta de 01-12-2016 a 30-11-2017</t>
  </si>
  <si>
    <t xml:space="preserve">Rotatividade</t>
  </si>
  <si>
    <t xml:space="preserve">Demitidos s/ Justa Causa em relação ao Estoque Médio</t>
  </si>
  <si>
    <t xml:space="preserve">Dias ano</t>
  </si>
  <si>
    <t xml:space="preserve">1/3 de férias (dias)</t>
  </si>
  <si>
    <t xml:space="preserve">Férias (dias)</t>
  </si>
  <si>
    <t xml:space="preserve">13º Salário (dias)</t>
  </si>
  <si>
    <t xml:space="preserve">Estoque Médio</t>
  </si>
  <si>
    <t xml:space="preserve">Multa FGTS</t>
  </si>
  <si>
    <t xml:space="preserve">Fração de tempo para gozo férias</t>
  </si>
  <si>
    <t xml:space="preserve">Dias de Aviso prévio</t>
  </si>
  <si>
    <t xml:space="preserve">Rotatividade temporal (meses)</t>
  </si>
  <si>
    <t xml:space="preserve">1. Esta planilha é somente um modelo-base e deve ser ajustada conforme cada caso concreto.</t>
  </si>
  <si>
    <t xml:space="preserve">2. Preencher somente células em amarelo</t>
  </si>
  <si>
    <t xml:space="preserve">4. Composição do BDI - Benefícios e Despesas Indiretas</t>
  </si>
  <si>
    <t xml:space="preserve">Referência estudo TCE</t>
  </si>
  <si>
    <t xml:space="preserve">1° Quartil</t>
  </si>
  <si>
    <t xml:space="preserve">Médio</t>
  </si>
  <si>
    <t xml:space="preserve">3° Quartil</t>
  </si>
  <si>
    <t xml:space="preserve">Administração Central</t>
  </si>
  <si>
    <t xml:space="preserve">AC</t>
  </si>
  <si>
    <t xml:space="preserve">Seguros/Riscos/Garantias</t>
  </si>
  <si>
    <t xml:space="preserve">SRG</t>
  </si>
  <si>
    <t xml:space="preserve">Lucro</t>
  </si>
  <si>
    <t xml:space="preserve">L</t>
  </si>
  <si>
    <t xml:space="preserve">Despesas Financeiras</t>
  </si>
  <si>
    <t xml:space="preserve">DF</t>
  </si>
  <si>
    <t xml:space="preserve">i</t>
  </si>
  <si>
    <t xml:space="preserve">Tributos - ISS</t>
  </si>
  <si>
    <t xml:space="preserve">T</t>
  </si>
  <si>
    <t xml:space="preserve">DU</t>
  </si>
  <si>
    <t xml:space="preserve">Tributos - PIS/COFINS</t>
  </si>
  <si>
    <t xml:space="preserve">Fórmula para o cálculo do BDI:</t>
  </si>
  <si>
    <t xml:space="preserve">{[(1+AC+SRG) x (1+L) x (1+DF)] / (1-T)} -1</t>
  </si>
  <si>
    <t xml:space="preserve">Resultado do cálculo do BDI:</t>
  </si>
  <si>
    <t xml:space="preserve">5. Depreciação Referencial TCE/RS (%)</t>
  </si>
  <si>
    <t xml:space="preserve">Idade do veículo (ano)</t>
  </si>
  <si>
    <t xml:space="preserve">Depreciação Média</t>
  </si>
  <si>
    <t xml:space="preserve">6. Remuneração de Capital</t>
  </si>
  <si>
    <t xml:space="preserve">Fórmula de cálculo da remuneração de capital:</t>
  </si>
  <si>
    <r>
      <rPr>
        <sz val="12"/>
        <color rgb="FF000000"/>
        <rFont val="Arial"/>
        <family val="2"/>
        <charset val="1"/>
      </rPr>
      <t xml:space="preserve">J</t>
    </r>
    <r>
      <rPr>
        <vertAlign val="subscript"/>
        <sz val="12"/>
        <color rgb="FF000000"/>
        <rFont val="Arial"/>
        <family val="2"/>
        <charset val="1"/>
      </rPr>
      <t xml:space="preserve">m</t>
    </r>
    <r>
      <rPr>
        <sz val="12"/>
        <color rgb="FF000000"/>
        <rFont val="Arial"/>
        <family val="2"/>
        <charset val="1"/>
      </rPr>
      <t xml:space="preserve"> = remuneração de capital mensal</t>
    </r>
  </si>
  <si>
    <t xml:space="preserve">i = taxa de juros do mercado (sugere-se adotar a taxa SELIC)</t>
  </si>
  <si>
    <t xml:space="preserve">Im = investimento médio</t>
  </si>
  <si>
    <r>
      <rPr>
        <sz val="12"/>
        <color rgb="FF000000"/>
        <rFont val="Arial"/>
        <family val="2"/>
        <charset val="1"/>
      </rPr>
      <t xml:space="preserve">V</t>
    </r>
    <r>
      <rPr>
        <vertAlign val="subscript"/>
        <sz val="12"/>
        <color rgb="FF000000"/>
        <rFont val="Arial"/>
        <family val="2"/>
        <charset val="1"/>
      </rPr>
      <t xml:space="preserve">0</t>
    </r>
    <r>
      <rPr>
        <sz val="12"/>
        <color rgb="FF000000"/>
        <rFont val="Arial"/>
        <family val="2"/>
        <charset val="1"/>
      </rPr>
      <t xml:space="preserve"> = valor inicial do bem</t>
    </r>
  </si>
  <si>
    <r>
      <rPr>
        <sz val="12"/>
        <color rgb="FF000000"/>
        <rFont val="Arial"/>
        <family val="2"/>
        <charset val="1"/>
      </rPr>
      <t xml:space="preserve">V</t>
    </r>
    <r>
      <rPr>
        <vertAlign val="subscript"/>
        <sz val="12"/>
        <color rgb="FF000000"/>
        <rFont val="Arial"/>
        <family val="2"/>
        <charset val="1"/>
      </rPr>
      <t xml:space="preserve">r</t>
    </r>
    <r>
      <rPr>
        <sz val="12"/>
        <color rgb="FF000000"/>
        <rFont val="Arial"/>
        <family val="2"/>
        <charset val="1"/>
      </rPr>
      <t xml:space="preserve"> = valor residual do bem</t>
    </r>
  </si>
  <si>
    <t xml:space="preserve">n = vida útil do bem em anos</t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</si>
</sst>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_(* #,##0.00_);_(* \(#,##0.00\);_(* \-??_);_(@_)"/>
    <numFmt numFmtId="166" formatCode="#,##0.00"/>
    <numFmt numFmtId="167" formatCode="&quot;R$ &quot;#,##0.00"/>
    <numFmt numFmtId="168" formatCode="0%"/>
    <numFmt numFmtId="169" formatCode="0.00%"/>
    <numFmt numFmtId="170" formatCode="&quot;R$ &quot;#,##0.00_);&quot;(R$ &quot;#,##0.00\)"/>
    <numFmt numFmtId="171" formatCode="0"/>
    <numFmt numFmtId="172" formatCode="_(* #,##0_);_(* \(#,##0\);_(* \-??_);_(@_)"/>
    <numFmt numFmtId="173" formatCode="_-&quot;R$ &quot;* #,##0.00_-;&quot;-R$ &quot;* #,##0.00_-;_-&quot;R$ &quot;* \-??_-;_-@_-"/>
    <numFmt numFmtId="174" formatCode="# ??/??"/>
    <numFmt numFmtId="175" formatCode="#,##0"/>
    <numFmt numFmtId="176" formatCode="_(* #,##0.000_);_(* \(#,##0.000\);_(* \-??_);_(@_)"/>
    <numFmt numFmtId="177" formatCode="0.0000"/>
    <numFmt numFmtId="178" formatCode="General"/>
    <numFmt numFmtId="179" formatCode="0.00"/>
  </numFmts>
  <fonts count="2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sz val="9"/>
      <name val="Times New Roman"/>
      <family val="1"/>
      <charset val="1"/>
    </font>
    <font>
      <b val="true"/>
      <sz val="12"/>
      <name val="Arial"/>
      <family val="2"/>
      <charset val="1"/>
    </font>
    <font>
      <sz val="11"/>
      <color rgb="FF000000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9"/>
      <name val="Times New Roman"/>
      <family val="1"/>
      <charset val="1"/>
    </font>
    <font>
      <b val="true"/>
      <u val="single"/>
      <sz val="11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u val="single"/>
      <sz val="11"/>
      <color rgb="FF0000FF"/>
      <name val="Calibri"/>
      <family val="2"/>
      <charset val="1"/>
    </font>
    <font>
      <u val="single"/>
      <sz val="10"/>
      <color rgb="FF0000FF"/>
      <name val="Arial"/>
      <family val="2"/>
      <charset val="1"/>
    </font>
    <font>
      <sz val="9"/>
      <color rgb="FFFF0000"/>
      <name val="Times New Roman"/>
      <family val="1"/>
      <charset val="1"/>
    </font>
    <font>
      <sz val="11"/>
      <color rgb="FFFFFFFF"/>
      <name val="Calibri"/>
      <family val="2"/>
      <charset val="1"/>
    </font>
    <font>
      <sz val="9"/>
      <color rgb="FF000000"/>
      <name val="Tahoma"/>
      <family val="2"/>
      <charset val="1"/>
    </font>
    <font>
      <b val="true"/>
      <sz val="9"/>
      <color rgb="FF000000"/>
      <name val="Tahoma"/>
      <family val="2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4"/>
      <name val="Arial"/>
      <family val="2"/>
      <charset val="1"/>
    </font>
    <font>
      <sz val="11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name val="Arial"/>
      <family val="2"/>
      <charset val="1"/>
    </font>
    <font>
      <b val="true"/>
      <sz val="11"/>
      <name val="Arial"/>
      <family val="2"/>
      <charset val="1"/>
    </font>
    <font>
      <sz val="12"/>
      <color rgb="FF000000"/>
      <name val="Arial"/>
      <family val="2"/>
      <charset val="1"/>
    </font>
    <font>
      <vertAlign val="subscript"/>
      <sz val="12"/>
      <color rgb="FF000000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EEECE1"/>
      </patternFill>
    </fill>
    <fill>
      <patternFill patternType="solid">
        <fgColor rgb="FFBFBFBF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BFBFBF"/>
      </patternFill>
    </fill>
    <fill>
      <patternFill patternType="solid">
        <fgColor rgb="FFC6D9F1"/>
        <bgColor rgb="FFD9D9D9"/>
      </patternFill>
    </fill>
    <fill>
      <patternFill patternType="solid">
        <fgColor rgb="FF808080"/>
        <bgColor rgb="FF666699"/>
      </patternFill>
    </fill>
    <fill>
      <patternFill patternType="solid">
        <fgColor rgb="FFD9D9D9"/>
        <bgColor rgb="FFDDD9C3"/>
      </patternFill>
    </fill>
    <fill>
      <patternFill patternType="solid">
        <fgColor rgb="FFA6A6A6"/>
        <bgColor rgb="FFBFBFBF"/>
      </patternFill>
    </fill>
    <fill>
      <patternFill patternType="solid">
        <fgColor rgb="FFDDD9C3"/>
        <bgColor rgb="FFD9D9D9"/>
      </patternFill>
    </fill>
    <fill>
      <patternFill patternType="solid">
        <fgColor rgb="FFEEECE1"/>
        <bgColor rgb="FFD9D9D9"/>
      </patternFill>
    </fill>
  </fills>
  <borders count="5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4" fillId="2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2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3" borderId="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6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7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8" fillId="0" borderId="7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8" fillId="0" borderId="8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8" fillId="0" borderId="9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1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8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1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8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8" fillId="0" borderId="13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4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" fillId="0" borderId="13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10" xfId="1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8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0" xfId="1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15" xfId="1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8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6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8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8" fillId="0" borderId="18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19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20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4" fillId="0" borderId="2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22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8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8" fillId="0" borderId="2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3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4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6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27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4" fillId="0" borderId="28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15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8" fillId="4" borderId="29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8" fillId="0" borderId="3" xfId="1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2" fontId="4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5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5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5" borderId="3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5" borderId="18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3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3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3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1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6" borderId="1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1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4" fillId="0" borderId="12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8" fillId="5" borderId="29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4" fillId="0" borderId="12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4" borderId="1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5" borderId="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7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3" fontId="11" fillId="7" borderId="5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5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4" fillId="4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3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3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3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3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8" fillId="5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5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5" borderId="3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5" fontId="4" fillId="4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4" fillId="4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4" fillId="4" borderId="3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4" fillId="0" borderId="1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6" fontId="4" fillId="0" borderId="3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4" fillId="0" borderId="1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8" fillId="0" borderId="1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6" fontId="8" fillId="0" borderId="1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4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4" fillId="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29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3" fontId="8" fillId="5" borderId="5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12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7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7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5" fillId="7" borderId="23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5" fillId="7" borderId="36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3" fontId="11" fillId="7" borderId="37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5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6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29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3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3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2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9" fontId="21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2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22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1" fillId="8" borderId="3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8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22" fillId="8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9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0" xfId="19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1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9" borderId="4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9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22" fillId="9" borderId="2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9" fontId="22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23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9" fontId="21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21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0" fillId="10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4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4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4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4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4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4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4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22" fillId="0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4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8" fontId="25" fillId="0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5" fillId="0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25" fillId="0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8" fontId="22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25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1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25" fillId="0" borderId="38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24" fillId="0" borderId="39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4" fillId="0" borderId="12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24" fillId="0" borderId="2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4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4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4" fillId="0" borderId="39" xfId="19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24" fillId="0" borderId="12" xfId="19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24" fillId="0" borderId="21" xfId="19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4" fillId="0" borderId="3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4" fillId="4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4" fillId="4" borderId="12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24" fillId="0" borderId="2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3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4" fillId="4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4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24" fillId="4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4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5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24" fillId="0" borderId="5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2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3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8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4" fillId="8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25" fillId="8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4" fillId="0" borderId="40" xfId="19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24" fillId="0" borderId="14" xfId="19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24" fillId="0" borderId="28" xfId="19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1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11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9" fontId="21" fillId="11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1" fillId="0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9" fontId="21" fillId="11" borderId="1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1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5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52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26" fillId="0" borderId="37" xfId="0" applyFont="true" applyBorder="true" applyAlignment="true" applyProtection="false">
      <alignment horizontal="justify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BFBFBF"/>
      <rgbColor rgb="FFFF99CC"/>
      <rgbColor rgb="FFCC99FF"/>
      <rgbColor rgb="FFDDD9C3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3.png"/><Relationship Id="rId2" Type="http://schemas.openxmlformats.org/officeDocument/2006/relationships/image" Target="../media/image1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133200</xdr:colOff>
      <xdr:row>4</xdr:row>
      <xdr:rowOff>28440</xdr:rowOff>
    </xdr:from>
    <xdr:to>
      <xdr:col>0</xdr:col>
      <xdr:colOff>1418040</xdr:colOff>
      <xdr:row>6</xdr:row>
      <xdr:rowOff>65520</xdr:rowOff>
    </xdr:to>
    <xdr:pic>
      <xdr:nvPicPr>
        <xdr:cNvPr id="0" name="Picture 2" descr=""/>
        <xdr:cNvPicPr/>
      </xdr:nvPicPr>
      <xdr:blipFill>
        <a:blip r:embed="rId1"/>
        <a:stretch/>
      </xdr:blipFill>
      <xdr:spPr>
        <a:xfrm>
          <a:off x="133200" y="742680"/>
          <a:ext cx="1284840" cy="360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85680</xdr:colOff>
      <xdr:row>7</xdr:row>
      <xdr:rowOff>9360</xdr:rowOff>
    </xdr:from>
    <xdr:to>
      <xdr:col>0</xdr:col>
      <xdr:colOff>2122920</xdr:colOff>
      <xdr:row>9</xdr:row>
      <xdr:rowOff>55800</xdr:rowOff>
    </xdr:to>
    <xdr:pic>
      <xdr:nvPicPr>
        <xdr:cNvPr id="1" name="Picture 1" descr=""/>
        <xdr:cNvPicPr/>
      </xdr:nvPicPr>
      <xdr:blipFill>
        <a:blip r:embed="rId2"/>
        <a:stretch/>
      </xdr:blipFill>
      <xdr:spPr>
        <a:xfrm>
          <a:off x="85680" y="1209240"/>
          <a:ext cx="2037240" cy="3704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78"/>
  <sheetViews>
    <sheetView showFormulas="false" showGridLines="fals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D130" activeCellId="0" sqref="D130"/>
    </sheetView>
  </sheetViews>
  <sheetFormatPr defaultColWidth="9.13671875" defaultRowHeight="15" zeroHeight="false" outlineLevelRow="0" outlineLevelCol="0"/>
  <cols>
    <col collapsed="false" customWidth="true" hidden="false" outlineLevel="0" max="1" min="1" style="1" width="42.29"/>
    <col collapsed="false" customWidth="true" hidden="false" outlineLevel="0" max="2" min="2" style="1" width="22.01"/>
    <col collapsed="false" customWidth="true" hidden="false" outlineLevel="0" max="3" min="3" style="1" width="18.12"/>
    <col collapsed="false" customWidth="true" hidden="false" outlineLevel="0" max="4" min="4" style="2" width="18.12"/>
    <col collapsed="false" customWidth="true" hidden="false" outlineLevel="0" max="5" min="5" style="2" width="21.71"/>
    <col collapsed="false" customWidth="true" hidden="false" outlineLevel="0" max="6" min="6" style="3" width="14.01"/>
    <col collapsed="false" customWidth="false" hidden="false" outlineLevel="0" max="1024" min="7" style="4" width="9.13"/>
  </cols>
  <sheetData>
    <row r="1" customFormat="false" ht="15" hidden="false" customHeight="false" outlineLevel="0" collapsed="false">
      <c r="A1" s="1" t="s">
        <v>0</v>
      </c>
    </row>
    <row r="2" customFormat="false" ht="15.75" hidden="false" customHeight="false" outlineLevel="0" collapsed="false">
      <c r="A2" s="5" t="s">
        <v>1</v>
      </c>
    </row>
    <row r="3" s="10" customFormat="true" ht="15.75" hidden="false" customHeight="false" outlineLevel="0" collapsed="false">
      <c r="A3" s="6" t="s">
        <v>2</v>
      </c>
      <c r="B3" s="7"/>
      <c r="C3" s="7"/>
      <c r="D3" s="8"/>
      <c r="E3" s="8"/>
      <c r="F3" s="9"/>
    </row>
    <row r="4" customFormat="false" ht="15" hidden="false" customHeight="false" outlineLevel="0" collapsed="false">
      <c r="A4" s="11" t="s">
        <v>3</v>
      </c>
      <c r="B4" s="11"/>
      <c r="C4" s="11"/>
      <c r="D4" s="11"/>
      <c r="E4" s="11"/>
      <c r="F4" s="11"/>
    </row>
    <row r="5" customFormat="false" ht="15" hidden="false" customHeight="false" outlineLevel="0" collapsed="false">
      <c r="A5" s="12" t="s">
        <v>4</v>
      </c>
      <c r="B5" s="12"/>
      <c r="C5" s="12"/>
      <c r="D5" s="12"/>
      <c r="E5" s="12"/>
      <c r="F5" s="12"/>
    </row>
    <row r="6" customFormat="false" ht="10.9" hidden="false" customHeight="true" outlineLevel="0" collapsed="false">
      <c r="A6" s="13"/>
      <c r="B6" s="14"/>
      <c r="C6" s="14"/>
      <c r="F6" s="15"/>
    </row>
    <row r="7" customFormat="false" ht="15.75" hidden="false" customHeight="true" outlineLevel="0" collapsed="false">
      <c r="A7" s="16" t="s">
        <v>5</v>
      </c>
      <c r="B7" s="16"/>
      <c r="C7" s="16"/>
      <c r="D7" s="16"/>
      <c r="E7" s="16"/>
      <c r="F7" s="16"/>
    </row>
    <row r="8" customFormat="false" ht="15.75" hidden="false" customHeight="true" outlineLevel="0" collapsed="false">
      <c r="A8" s="17" t="s">
        <v>6</v>
      </c>
      <c r="B8" s="18"/>
      <c r="C8" s="18"/>
      <c r="D8" s="19"/>
      <c r="E8" s="20" t="s">
        <v>7</v>
      </c>
      <c r="F8" s="21" t="s">
        <v>8</v>
      </c>
    </row>
    <row r="9" s="27" customFormat="true" ht="15.75" hidden="false" customHeight="true" outlineLevel="0" collapsed="false">
      <c r="A9" s="22" t="str">
        <f aca="false">A35</f>
        <v>1. Mão-de-obra</v>
      </c>
      <c r="B9" s="23"/>
      <c r="C9" s="24"/>
      <c r="D9" s="24"/>
      <c r="E9" s="25" t="n">
        <f aca="false">+F51</f>
        <v>0</v>
      </c>
      <c r="F9" s="26" t="n">
        <f aca="false">IFERROR(E9/$E$23,0)</f>
        <v>0</v>
      </c>
    </row>
    <row r="10" customFormat="false" ht="15.75" hidden="false" customHeight="true" outlineLevel="0" collapsed="false">
      <c r="A10" s="28" t="str">
        <f aca="false">A36</f>
        <v>1.1. Motorista</v>
      </c>
      <c r="B10" s="29"/>
      <c r="C10" s="30"/>
      <c r="D10" s="30"/>
      <c r="E10" s="31" t="n">
        <f aca="false">F44</f>
        <v>0</v>
      </c>
      <c r="F10" s="32" t="n">
        <f aca="false">IFERROR(E10/$E$23,0)</f>
        <v>0</v>
      </c>
    </row>
    <row r="11" customFormat="false" ht="15.75" hidden="false" customHeight="true" outlineLevel="0" collapsed="false">
      <c r="A11" s="28" t="str">
        <f aca="false">A46</f>
        <v>1.7. Auxílio Alimentação (mensal)</v>
      </c>
      <c r="B11" s="29"/>
      <c r="C11" s="30"/>
      <c r="D11" s="30"/>
      <c r="E11" s="31" t="n">
        <f aca="false">F49</f>
        <v>0</v>
      </c>
      <c r="F11" s="32" t="n">
        <f aca="false">IFERROR(E11/$E$23,0)</f>
        <v>0</v>
      </c>
    </row>
    <row r="12" s="27" customFormat="true" ht="15.75" hidden="false" customHeight="true" outlineLevel="0" collapsed="false">
      <c r="A12" s="33" t="str">
        <f aca="false">A53</f>
        <v>2. Uniformes e Equipamentos de Proteção Individual</v>
      </c>
      <c r="B12" s="33"/>
      <c r="C12" s="33"/>
      <c r="D12" s="24"/>
      <c r="E12" s="25" t="n">
        <f aca="false">+F65</f>
        <v>0</v>
      </c>
      <c r="F12" s="26" t="n">
        <f aca="false">IFERROR(E12/$E$23,0)</f>
        <v>0</v>
      </c>
    </row>
    <row r="13" s="27" customFormat="true" ht="15.75" hidden="false" customHeight="true" outlineLevel="0" collapsed="false">
      <c r="A13" s="33" t="str">
        <f aca="false">A67</f>
        <v>3. Veículos e Equipamentos</v>
      </c>
      <c r="B13" s="34"/>
      <c r="C13" s="24"/>
      <c r="D13" s="24"/>
      <c r="E13" s="25" t="n">
        <v>0</v>
      </c>
      <c r="F13" s="26" t="n">
        <f aca="false">IFERROR(E13/$E$23,0)</f>
        <v>0</v>
      </c>
    </row>
    <row r="14" customFormat="false" ht="15.75" hidden="false" customHeight="true" outlineLevel="0" collapsed="false">
      <c r="A14" s="35" t="str">
        <f aca="false">A68</f>
        <v>3.1. Veículo para transporte de rejeitos</v>
      </c>
      <c r="B14" s="36"/>
      <c r="C14" s="30"/>
      <c r="D14" s="30"/>
      <c r="E14" s="31" t="n">
        <v>0</v>
      </c>
      <c r="F14" s="32" t="n">
        <f aca="false">IFERROR(E14/$E$23,0)</f>
        <v>0</v>
      </c>
    </row>
    <row r="15" customFormat="false" ht="15.75" hidden="false" customHeight="true" outlineLevel="0" collapsed="false">
      <c r="A15" s="35" t="str">
        <f aca="false">A69</f>
        <v>3.1.1. Depreciação</v>
      </c>
      <c r="B15" s="36"/>
      <c r="C15" s="30"/>
      <c r="D15" s="30"/>
      <c r="E15" s="31" t="n">
        <f aca="false">F78</f>
        <v>0</v>
      </c>
      <c r="F15" s="32" t="n">
        <f aca="false">IFERROR(E15/$E$23,0)</f>
        <v>0</v>
      </c>
    </row>
    <row r="16" customFormat="false" ht="15.75" hidden="false" customHeight="true" outlineLevel="0" collapsed="false">
      <c r="A16" s="35" t="str">
        <f aca="false">A80</f>
        <v>3.1.2. Remuneração do Capital</v>
      </c>
      <c r="B16" s="36"/>
      <c r="C16" s="30"/>
      <c r="D16" s="30"/>
      <c r="E16" s="31" t="n">
        <f aca="false">F89</f>
        <v>0</v>
      </c>
      <c r="F16" s="32" t="n">
        <f aca="false">IFERROR(E16/$E$23,0)</f>
        <v>0</v>
      </c>
    </row>
    <row r="17" customFormat="false" ht="15.75" hidden="false" customHeight="true" outlineLevel="0" collapsed="false">
      <c r="A17" s="35" t="str">
        <f aca="false">A91</f>
        <v>3.1.3. Impostos e Seguros</v>
      </c>
      <c r="B17" s="36"/>
      <c r="C17" s="30"/>
      <c r="D17" s="30"/>
      <c r="E17" s="31" t="n">
        <v>0</v>
      </c>
      <c r="F17" s="32" t="n">
        <f aca="false">IFERROR(E17/$E$23,0)</f>
        <v>0</v>
      </c>
    </row>
    <row r="18" customFormat="false" ht="15.75" hidden="false" customHeight="true" outlineLevel="0" collapsed="false">
      <c r="A18" s="35" t="str">
        <f aca="false">A99</f>
        <v>3.1.4. Consumos</v>
      </c>
      <c r="B18" s="36"/>
      <c r="C18" s="30"/>
      <c r="D18" s="30"/>
      <c r="E18" s="31" t="n">
        <f aca="false">F109</f>
        <v>0</v>
      </c>
      <c r="F18" s="32" t="n">
        <f aca="false">IFERROR(E18/$E$23,0)</f>
        <v>0</v>
      </c>
    </row>
    <row r="19" customFormat="false" ht="15.75" hidden="false" customHeight="true" outlineLevel="0" collapsed="false">
      <c r="A19" s="35" t="str">
        <f aca="false">A111</f>
        <v>3.1.5. Manutenção</v>
      </c>
      <c r="B19" s="36"/>
      <c r="C19" s="30"/>
      <c r="D19" s="30"/>
      <c r="E19" s="31" t="n">
        <f aca="false">F115</f>
        <v>0</v>
      </c>
      <c r="F19" s="32" t="n">
        <f aca="false">IFERROR(E19/$E$23,0)</f>
        <v>0</v>
      </c>
    </row>
    <row r="20" customFormat="false" ht="15.75" hidden="false" customHeight="true" outlineLevel="0" collapsed="false">
      <c r="A20" s="35" t="str">
        <f aca="false">A117</f>
        <v>3.1.6. Pneus</v>
      </c>
      <c r="B20" s="36"/>
      <c r="C20" s="30"/>
      <c r="D20" s="30"/>
      <c r="E20" s="31" t="n">
        <f aca="false">F124</f>
        <v>0</v>
      </c>
      <c r="F20" s="32" t="n">
        <f aca="false">IFERROR(E20/$E$23,0)</f>
        <v>0</v>
      </c>
    </row>
    <row r="21" s="27" customFormat="true" ht="15.75" hidden="false" customHeight="true" outlineLevel="0" collapsed="false">
      <c r="A21" s="33" t="n">
        <f aca="false">A128</f>
        <v>0</v>
      </c>
      <c r="B21" s="34"/>
      <c r="C21" s="24"/>
      <c r="D21" s="24"/>
      <c r="E21" s="25" t="n">
        <f aca="false">+F132</f>
        <v>95200</v>
      </c>
      <c r="F21" s="26" t="n">
        <f aca="false">IFERROR(E21/$E$23,0)</f>
        <v>1</v>
      </c>
    </row>
    <row r="22" s="27" customFormat="true" ht="15.75" hidden="false" customHeight="true" outlineLevel="0" collapsed="false">
      <c r="A22" s="33" t="str">
        <f aca="false">A136</f>
        <v>4. Benefícios e Despesas Indiretas - BDI</v>
      </c>
      <c r="B22" s="34"/>
      <c r="C22" s="24"/>
      <c r="D22" s="24"/>
      <c r="E22" s="37" t="n">
        <v>0</v>
      </c>
      <c r="F22" s="26" t="n">
        <f aca="false">IFERROR(E22/$E$23,0)</f>
        <v>0</v>
      </c>
    </row>
    <row r="23" customFormat="false" ht="15.75" hidden="false" customHeight="true" outlineLevel="0" collapsed="false">
      <c r="A23" s="38" t="s">
        <v>9</v>
      </c>
      <c r="B23" s="39"/>
      <c r="C23" s="40"/>
      <c r="D23" s="40"/>
      <c r="E23" s="41" t="n">
        <f aca="false">E9+E12+E13+E21+E22</f>
        <v>95200</v>
      </c>
      <c r="F23" s="42" t="n">
        <f aca="false">F9+F12+F13+F21+F22</f>
        <v>1</v>
      </c>
    </row>
    <row r="24" customFormat="false" ht="15.75" hidden="false" customHeight="false" outlineLevel="0" collapsed="false"/>
    <row r="25" customFormat="false" ht="15" hidden="false" customHeight="true" outlineLevel="0" collapsed="false">
      <c r="A25" s="16" t="s">
        <v>10</v>
      </c>
      <c r="B25" s="16"/>
      <c r="C25" s="16"/>
      <c r="D25" s="16"/>
      <c r="E25" s="16"/>
    </row>
    <row r="26" customFormat="false" ht="15" hidden="false" customHeight="true" outlineLevel="0" collapsed="false">
      <c r="A26" s="43" t="s">
        <v>11</v>
      </c>
      <c r="B26" s="43"/>
      <c r="C26" s="43"/>
      <c r="D26" s="43"/>
      <c r="E26" s="44" t="n">
        <v>0</v>
      </c>
    </row>
    <row r="27" customFormat="false" ht="15" hidden="false" customHeight="true" outlineLevel="0" collapsed="false">
      <c r="A27" s="28" t="str">
        <f aca="false">+A36</f>
        <v>1.1. Motorista</v>
      </c>
      <c r="B27" s="30"/>
      <c r="C27" s="30"/>
      <c r="D27" s="45"/>
      <c r="E27" s="46" t="n">
        <v>0</v>
      </c>
    </row>
    <row r="28" customFormat="false" ht="15" hidden="false" customHeight="true" outlineLevel="0" collapsed="false">
      <c r="A28" s="47" t="s">
        <v>12</v>
      </c>
      <c r="B28" s="48"/>
      <c r="C28" s="48"/>
      <c r="D28" s="49"/>
      <c r="E28" s="50" t="n">
        <f aca="false">SUM(E27:E27)</f>
        <v>0</v>
      </c>
    </row>
    <row r="29" customFormat="false" ht="15" hidden="false" customHeight="true" outlineLevel="0" collapsed="false">
      <c r="A29" s="51"/>
      <c r="B29" s="52"/>
      <c r="C29" s="2"/>
      <c r="E29" s="53"/>
    </row>
    <row r="30" customFormat="false" ht="15" hidden="false" customHeight="true" outlineLevel="0" collapsed="false">
      <c r="A30" s="54" t="s">
        <v>13</v>
      </c>
      <c r="B30" s="54"/>
      <c r="C30" s="54"/>
      <c r="D30" s="54"/>
      <c r="E30" s="44" t="s">
        <v>14</v>
      </c>
      <c r="F30" s="55"/>
    </row>
    <row r="31" customFormat="false" ht="15" hidden="false" customHeight="true" outlineLevel="0" collapsed="false">
      <c r="A31" s="56" t="str">
        <f aca="false">+A68</f>
        <v>3.1. Veículo para transporte de rejeitos</v>
      </c>
      <c r="B31" s="57"/>
      <c r="C31" s="57"/>
      <c r="D31" s="58"/>
      <c r="E31" s="59" t="n">
        <v>0</v>
      </c>
      <c r="F31" s="55"/>
    </row>
    <row r="32" customFormat="false" ht="15" hidden="false" customHeight="true" outlineLevel="0" collapsed="false">
      <c r="A32" s="2"/>
      <c r="B32" s="2"/>
      <c r="C32" s="2"/>
      <c r="D32" s="1"/>
      <c r="E32" s="60"/>
      <c r="F32" s="55"/>
    </row>
    <row r="33" s="27" customFormat="true" ht="15.75" hidden="false" customHeight="true" outlineLevel="0" collapsed="false">
      <c r="A33" s="61" t="s">
        <v>15</v>
      </c>
      <c r="B33" s="62" t="n">
        <v>1</v>
      </c>
      <c r="C33" s="63" t="s">
        <v>16</v>
      </c>
      <c r="D33" s="63"/>
      <c r="E33" s="63"/>
      <c r="F33" s="63"/>
    </row>
    <row r="34" customFormat="false" ht="15.75" hidden="false" customHeight="true" outlineLevel="0" collapsed="false">
      <c r="A34" s="2"/>
      <c r="B34" s="2"/>
      <c r="C34" s="2"/>
      <c r="D34" s="1"/>
      <c r="E34" s="64"/>
      <c r="F34" s="55"/>
    </row>
    <row r="35" customFormat="false" ht="13.15" hidden="false" customHeight="true" outlineLevel="0" collapsed="false">
      <c r="A35" s="65" t="s">
        <v>17</v>
      </c>
    </row>
    <row r="36" customFormat="false" ht="15.75" hidden="false" customHeight="false" outlineLevel="0" collapsed="false">
      <c r="A36" s="1" t="s">
        <v>18</v>
      </c>
    </row>
    <row r="37" customFormat="false" ht="13.15" hidden="false" customHeight="true" outlineLevel="0" collapsed="false">
      <c r="A37" s="66" t="s">
        <v>19</v>
      </c>
      <c r="B37" s="67" t="s">
        <v>20</v>
      </c>
      <c r="C37" s="67" t="s">
        <v>14</v>
      </c>
      <c r="D37" s="68" t="s">
        <v>21</v>
      </c>
      <c r="E37" s="68" t="s">
        <v>22</v>
      </c>
      <c r="F37" s="69" t="s">
        <v>23</v>
      </c>
    </row>
    <row r="38" customFormat="false" ht="15" hidden="false" customHeight="false" outlineLevel="0" collapsed="false">
      <c r="A38" s="70" t="s">
        <v>24</v>
      </c>
      <c r="B38" s="71" t="s">
        <v>25</v>
      </c>
      <c r="C38" s="71" t="n">
        <v>0</v>
      </c>
      <c r="D38" s="72" t="n">
        <v>0</v>
      </c>
      <c r="E38" s="73" t="n">
        <f aca="false">C38*D38</f>
        <v>0</v>
      </c>
    </row>
    <row r="39" customFormat="false" ht="15" hidden="false" customHeight="false" outlineLevel="0" collapsed="false">
      <c r="A39" s="70" t="s">
        <v>26</v>
      </c>
      <c r="B39" s="71" t="s">
        <v>25</v>
      </c>
      <c r="C39" s="71" t="n">
        <v>0</v>
      </c>
      <c r="D39" s="72"/>
      <c r="E39" s="73"/>
    </row>
    <row r="40" s="27" customFormat="true" ht="15" hidden="false" customHeight="false" outlineLevel="0" collapsed="false">
      <c r="A40" s="74" t="s">
        <v>27</v>
      </c>
      <c r="B40" s="75"/>
      <c r="C40" s="75"/>
      <c r="D40" s="76"/>
      <c r="E40" s="77" t="n">
        <f aca="false">SUM(E38:E39)</f>
        <v>0</v>
      </c>
      <c r="F40" s="76"/>
    </row>
    <row r="41" customFormat="false" ht="15" hidden="false" customHeight="false" outlineLevel="0" collapsed="false">
      <c r="A41" s="78" t="s">
        <v>28</v>
      </c>
      <c r="B41" s="79" t="s">
        <v>8</v>
      </c>
      <c r="C41" s="80" t="n">
        <v>0</v>
      </c>
      <c r="D41" s="81" t="n">
        <f aca="false">E40</f>
        <v>0</v>
      </c>
      <c r="E41" s="81" t="n">
        <f aca="false">D41*C41/100</f>
        <v>0</v>
      </c>
    </row>
    <row r="42" s="27" customFormat="true" ht="15" hidden="false" customHeight="false" outlineLevel="0" collapsed="false">
      <c r="A42" s="74" t="s">
        <v>29</v>
      </c>
      <c r="B42" s="82"/>
      <c r="C42" s="82"/>
      <c r="D42" s="83"/>
      <c r="E42" s="77" t="n">
        <f aca="false">E40+E41</f>
        <v>0</v>
      </c>
      <c r="F42" s="76"/>
    </row>
    <row r="43" customFormat="false" ht="15.75" hidden="false" customHeight="false" outlineLevel="0" collapsed="false">
      <c r="A43" s="78" t="s">
        <v>30</v>
      </c>
      <c r="B43" s="79" t="s">
        <v>31</v>
      </c>
      <c r="C43" s="84" t="n">
        <v>0</v>
      </c>
      <c r="D43" s="81" t="n">
        <f aca="false">E42</f>
        <v>0</v>
      </c>
      <c r="E43" s="81" t="n">
        <f aca="false">C43*D43</f>
        <v>0</v>
      </c>
    </row>
    <row r="44" customFormat="false" ht="15.75" hidden="false" customHeight="false" outlineLevel="0" collapsed="false">
      <c r="D44" s="85" t="s">
        <v>32</v>
      </c>
      <c r="E44" s="86" t="n">
        <f aca="false">$B$33</f>
        <v>1</v>
      </c>
      <c r="F44" s="87" t="n">
        <f aca="false">E43*E44</f>
        <v>0</v>
      </c>
    </row>
    <row r="45" customFormat="false" ht="11.25" hidden="false" customHeight="true" outlineLevel="0" collapsed="false"/>
    <row r="46" customFormat="false" ht="15.75" hidden="false" customHeight="false" outlineLevel="0" collapsed="false">
      <c r="A46" s="1" t="s">
        <v>33</v>
      </c>
      <c r="F46" s="76"/>
    </row>
    <row r="47" customFormat="false" ht="15.75" hidden="false" customHeight="false" outlineLevel="0" collapsed="false">
      <c r="A47" s="66" t="s">
        <v>19</v>
      </c>
      <c r="B47" s="67" t="s">
        <v>20</v>
      </c>
      <c r="C47" s="67" t="s">
        <v>14</v>
      </c>
      <c r="D47" s="68" t="s">
        <v>21</v>
      </c>
      <c r="E47" s="68" t="s">
        <v>22</v>
      </c>
      <c r="F47" s="69" t="s">
        <v>23</v>
      </c>
    </row>
    <row r="48" customFormat="false" ht="15.75" hidden="false" customHeight="false" outlineLevel="0" collapsed="false">
      <c r="A48" s="78" t="s">
        <v>34</v>
      </c>
      <c r="B48" s="79" t="s">
        <v>35</v>
      </c>
      <c r="C48" s="88" t="n">
        <v>0</v>
      </c>
      <c r="D48" s="89"/>
      <c r="E48" s="86" t="n">
        <f aca="false">C48*D48</f>
        <v>0</v>
      </c>
      <c r="F48" s="76"/>
    </row>
    <row r="49" customFormat="false" ht="15.75" hidden="false" customHeight="false" outlineLevel="0" collapsed="false">
      <c r="D49" s="85" t="s">
        <v>32</v>
      </c>
      <c r="E49" s="86" t="n">
        <f aca="false">$B$33</f>
        <v>1</v>
      </c>
      <c r="F49" s="90" t="n">
        <f aca="false">SUM(E48:E48)*E49</f>
        <v>0</v>
      </c>
    </row>
    <row r="50" customFormat="false" ht="15.75" hidden="false" customHeight="false" outlineLevel="0" collapsed="false"/>
    <row r="51" customFormat="false" ht="15.75" hidden="false" customHeight="false" outlineLevel="0" collapsed="false">
      <c r="A51" s="91" t="s">
        <v>36</v>
      </c>
      <c r="B51" s="91"/>
      <c r="C51" s="91"/>
      <c r="D51" s="91"/>
      <c r="E51" s="91"/>
      <c r="F51" s="92" t="n">
        <f aca="false">F49+F44</f>
        <v>0</v>
      </c>
    </row>
    <row r="53" customFormat="false" ht="15" hidden="false" customHeight="false" outlineLevel="0" collapsed="false">
      <c r="A53" s="65" t="s">
        <v>37</v>
      </c>
    </row>
    <row r="54" customFormat="false" ht="13.9" hidden="false" customHeight="true" outlineLevel="0" collapsed="false">
      <c r="A54" s="1" t="s">
        <v>38</v>
      </c>
    </row>
    <row r="55" customFormat="false" ht="27.75" hidden="false" customHeight="true" outlineLevel="0" collapsed="false">
      <c r="A55" s="66" t="s">
        <v>19</v>
      </c>
      <c r="B55" s="67" t="s">
        <v>20</v>
      </c>
      <c r="C55" s="93" t="s">
        <v>39</v>
      </c>
      <c r="D55" s="68" t="s">
        <v>21</v>
      </c>
      <c r="E55" s="68" t="s">
        <v>22</v>
      </c>
      <c r="F55" s="69" t="s">
        <v>23</v>
      </c>
    </row>
    <row r="56" customFormat="false" ht="15" hidden="false" customHeight="false" outlineLevel="0" collapsed="false">
      <c r="A56" s="78" t="s">
        <v>40</v>
      </c>
      <c r="B56" s="79" t="s">
        <v>35</v>
      </c>
      <c r="C56" s="94" t="n">
        <v>0</v>
      </c>
      <c r="D56" s="81" t="n">
        <v>0</v>
      </c>
      <c r="E56" s="73" t="n">
        <f aca="false">IFERROR(D56/C56,0)</f>
        <v>0</v>
      </c>
    </row>
    <row r="57" customFormat="false" ht="13.15" hidden="false" customHeight="true" outlineLevel="0" collapsed="false">
      <c r="A57" s="78" t="s">
        <v>41</v>
      </c>
      <c r="B57" s="79" t="s">
        <v>35</v>
      </c>
      <c r="C57" s="94" t="n">
        <v>0</v>
      </c>
      <c r="D57" s="81" t="n">
        <v>0</v>
      </c>
      <c r="E57" s="73" t="n">
        <f aca="false">IFERROR(D57/C57,0)</f>
        <v>0</v>
      </c>
    </row>
    <row r="58" customFormat="false" ht="15" hidden="false" customHeight="false" outlineLevel="0" collapsed="false">
      <c r="A58" s="78" t="s">
        <v>42</v>
      </c>
      <c r="B58" s="79" t="s">
        <v>43</v>
      </c>
      <c r="C58" s="94" t="n">
        <v>0</v>
      </c>
      <c r="D58" s="81" t="n">
        <v>0</v>
      </c>
      <c r="E58" s="73" t="n">
        <f aca="false">IFERROR(D58/C58,0)</f>
        <v>0</v>
      </c>
    </row>
    <row r="59" customFormat="false" ht="13.15" hidden="false" customHeight="true" outlineLevel="0" collapsed="false">
      <c r="A59" s="95" t="s">
        <v>44</v>
      </c>
      <c r="B59" s="79" t="s">
        <v>35</v>
      </c>
      <c r="C59" s="94" t="n">
        <v>0</v>
      </c>
      <c r="D59" s="81" t="n">
        <v>0</v>
      </c>
      <c r="E59" s="73" t="n">
        <f aca="false">IFERROR(D59/C59,0)</f>
        <v>0</v>
      </c>
    </row>
    <row r="60" customFormat="false" ht="13.9" hidden="false" customHeight="true" outlineLevel="0" collapsed="false">
      <c r="A60" s="78" t="s">
        <v>45</v>
      </c>
      <c r="B60" s="79" t="s">
        <v>46</v>
      </c>
      <c r="C60" s="94" t="n">
        <v>0</v>
      </c>
      <c r="D60" s="81" t="n">
        <v>0</v>
      </c>
      <c r="E60" s="73" t="n">
        <f aca="false">IFERROR(D60/C60,0)</f>
        <v>0</v>
      </c>
    </row>
    <row r="61" customFormat="false" ht="13.15" hidden="false" customHeight="true" outlineLevel="0" collapsed="false">
      <c r="A61" s="78" t="s">
        <v>47</v>
      </c>
      <c r="B61" s="79" t="s">
        <v>48</v>
      </c>
      <c r="C61" s="96" t="n">
        <v>0</v>
      </c>
      <c r="D61" s="72" t="n">
        <v>0</v>
      </c>
      <c r="E61" s="73" t="n">
        <f aca="false">IFERROR(D61/C61,0)</f>
        <v>0</v>
      </c>
    </row>
    <row r="62" customFormat="false" ht="15.75" hidden="false" customHeight="false" outlineLevel="0" collapsed="false">
      <c r="A62" s="78" t="s">
        <v>30</v>
      </c>
      <c r="B62" s="79" t="s">
        <v>31</v>
      </c>
      <c r="C62" s="96" t="n">
        <v>0</v>
      </c>
      <c r="D62" s="81" t="n">
        <v>0</v>
      </c>
      <c r="E62" s="81" t="n">
        <f aca="false">C62*D62</f>
        <v>0</v>
      </c>
    </row>
    <row r="63" customFormat="false" ht="15.75" hidden="false" customHeight="false" outlineLevel="0" collapsed="false">
      <c r="D63" s="85" t="s">
        <v>32</v>
      </c>
      <c r="E63" s="86" t="n">
        <f aca="false">$B$33</f>
        <v>1</v>
      </c>
      <c r="F63" s="87" t="n">
        <f aca="false">E62*E63</f>
        <v>0</v>
      </c>
    </row>
    <row r="64" customFormat="false" ht="11.25" hidden="false" customHeight="true" outlineLevel="0" collapsed="false"/>
    <row r="65" customFormat="false" ht="15.75" hidden="false" customHeight="false" outlineLevel="0" collapsed="false">
      <c r="A65" s="91" t="s">
        <v>49</v>
      </c>
      <c r="B65" s="91"/>
      <c r="C65" s="91"/>
      <c r="D65" s="91"/>
      <c r="E65" s="91"/>
      <c r="F65" s="92" t="n">
        <f aca="false">+F63</f>
        <v>0</v>
      </c>
    </row>
    <row r="66" customFormat="false" ht="11.25" hidden="false" customHeight="true" outlineLevel="0" collapsed="false"/>
    <row r="67" customFormat="false" ht="15" hidden="false" customHeight="false" outlineLevel="0" collapsed="false">
      <c r="A67" s="65" t="s">
        <v>50</v>
      </c>
    </row>
    <row r="68" customFormat="false" ht="15" hidden="false" customHeight="false" outlineLevel="0" collapsed="false">
      <c r="A68" s="1" t="s">
        <v>51</v>
      </c>
    </row>
    <row r="69" customFormat="false" ht="15.75" hidden="false" customHeight="false" outlineLevel="0" collapsed="false">
      <c r="A69" s="97" t="s">
        <v>52</v>
      </c>
    </row>
    <row r="70" customFormat="false" ht="15.75" hidden="false" customHeight="false" outlineLevel="0" collapsed="false">
      <c r="A70" s="66" t="s">
        <v>19</v>
      </c>
      <c r="B70" s="67" t="s">
        <v>20</v>
      </c>
      <c r="C70" s="67" t="s">
        <v>14</v>
      </c>
      <c r="D70" s="68" t="s">
        <v>21</v>
      </c>
      <c r="E70" s="68" t="s">
        <v>22</v>
      </c>
      <c r="F70" s="69" t="s">
        <v>23</v>
      </c>
    </row>
    <row r="71" customFormat="false" ht="15" hidden="false" customHeight="false" outlineLevel="0" collapsed="false">
      <c r="A71" s="70" t="s">
        <v>53</v>
      </c>
      <c r="B71" s="71" t="s">
        <v>35</v>
      </c>
      <c r="C71" s="71" t="n">
        <v>0</v>
      </c>
      <c r="D71" s="72" t="n">
        <v>0</v>
      </c>
      <c r="E71" s="73" t="n">
        <f aca="false">C71*D71</f>
        <v>0</v>
      </c>
    </row>
    <row r="72" customFormat="false" ht="15" hidden="false" customHeight="false" outlineLevel="0" collapsed="false">
      <c r="A72" s="78" t="s">
        <v>54</v>
      </c>
      <c r="B72" s="79" t="s">
        <v>55</v>
      </c>
      <c r="C72" s="84" t="n">
        <v>0</v>
      </c>
      <c r="D72" s="81"/>
      <c r="E72" s="81"/>
    </row>
    <row r="73" customFormat="false" ht="15" hidden="false" customHeight="false" outlineLevel="0" collapsed="false">
      <c r="A73" s="78" t="s">
        <v>56</v>
      </c>
      <c r="B73" s="79" t="s">
        <v>55</v>
      </c>
      <c r="C73" s="84" t="n">
        <v>0</v>
      </c>
      <c r="D73" s="81"/>
      <c r="E73" s="81"/>
    </row>
    <row r="74" customFormat="false" ht="15" hidden="false" customHeight="false" outlineLevel="0" collapsed="false">
      <c r="A74" s="78" t="s">
        <v>57</v>
      </c>
      <c r="B74" s="79" t="s">
        <v>8</v>
      </c>
      <c r="C74" s="80" t="n">
        <f aca="false">IFERROR(VLOOKUP(C72,'5. Depreciação'!A3:B17,2,0),0)</f>
        <v>0</v>
      </c>
      <c r="D74" s="81" t="n">
        <f aca="false">E71</f>
        <v>0</v>
      </c>
      <c r="E74" s="81" t="n">
        <f aca="false">C74*D74/100</f>
        <v>0</v>
      </c>
    </row>
    <row r="75" customFormat="false" ht="15.75" hidden="false" customHeight="false" outlineLevel="0" collapsed="false">
      <c r="A75" s="98" t="s">
        <v>58</v>
      </c>
      <c r="B75" s="99" t="s">
        <v>25</v>
      </c>
      <c r="C75" s="99" t="n">
        <f aca="false">C72*12</f>
        <v>0</v>
      </c>
      <c r="D75" s="100" t="n">
        <f aca="false">IF(C73&lt;=C72,E74,0)</f>
        <v>0</v>
      </c>
      <c r="E75" s="100" t="n">
        <f aca="false">IFERROR(D75/C75,0)</f>
        <v>0</v>
      </c>
    </row>
    <row r="76" customFormat="false" ht="15.75" hidden="false" customHeight="false" outlineLevel="0" collapsed="false">
      <c r="A76" s="101" t="s">
        <v>59</v>
      </c>
      <c r="B76" s="75"/>
      <c r="C76" s="75"/>
      <c r="D76" s="76"/>
      <c r="E76" s="102" t="n">
        <f aca="false">E75</f>
        <v>0</v>
      </c>
    </row>
    <row r="77" customFormat="false" ht="15.75" hidden="false" customHeight="false" outlineLevel="0" collapsed="false">
      <c r="A77" s="74" t="s">
        <v>60</v>
      </c>
      <c r="B77" s="103" t="s">
        <v>35</v>
      </c>
      <c r="C77" s="84" t="n">
        <v>0</v>
      </c>
      <c r="D77" s="77" t="n">
        <f aca="false">E76</f>
        <v>0</v>
      </c>
      <c r="E77" s="102" t="n">
        <f aca="false">C77*D77</f>
        <v>0</v>
      </c>
    </row>
    <row r="78" customFormat="false" ht="15.75" hidden="false" customHeight="false" outlineLevel="0" collapsed="false">
      <c r="A78" s="104"/>
      <c r="B78" s="104"/>
      <c r="C78" s="104"/>
      <c r="D78" s="85" t="s">
        <v>32</v>
      </c>
      <c r="E78" s="86" t="n">
        <f aca="false">$B$33</f>
        <v>1</v>
      </c>
      <c r="F78" s="90" t="n">
        <f aca="false">E77*E78</f>
        <v>0</v>
      </c>
    </row>
    <row r="79" customFormat="false" ht="11.25" hidden="false" customHeight="true" outlineLevel="0" collapsed="false"/>
    <row r="80" customFormat="false" ht="15.75" hidden="false" customHeight="false" outlineLevel="0" collapsed="false">
      <c r="A80" s="97" t="s">
        <v>61</v>
      </c>
    </row>
    <row r="81" customFormat="false" ht="15.75" hidden="false" customHeight="false" outlineLevel="0" collapsed="false">
      <c r="A81" s="105" t="s">
        <v>19</v>
      </c>
      <c r="B81" s="106" t="s">
        <v>20</v>
      </c>
      <c r="C81" s="106" t="s">
        <v>14</v>
      </c>
      <c r="D81" s="68" t="s">
        <v>21</v>
      </c>
      <c r="E81" s="107" t="s">
        <v>22</v>
      </c>
      <c r="F81" s="69" t="s">
        <v>23</v>
      </c>
    </row>
    <row r="82" customFormat="false" ht="15" hidden="false" customHeight="false" outlineLevel="0" collapsed="false">
      <c r="A82" s="78" t="s">
        <v>62</v>
      </c>
      <c r="B82" s="79" t="s">
        <v>35</v>
      </c>
      <c r="C82" s="71" t="n">
        <v>0</v>
      </c>
      <c r="D82" s="81" t="n">
        <f aca="false">D71</f>
        <v>0</v>
      </c>
      <c r="E82" s="81" t="n">
        <f aca="false">C82*D82</f>
        <v>0</v>
      </c>
    </row>
    <row r="83" customFormat="false" ht="15" hidden="false" customHeight="false" outlineLevel="0" collapsed="false">
      <c r="A83" s="78" t="s">
        <v>63</v>
      </c>
      <c r="B83" s="79" t="s">
        <v>8</v>
      </c>
      <c r="C83" s="84" t="n">
        <v>0</v>
      </c>
      <c r="D83" s="81"/>
      <c r="E83" s="81"/>
    </row>
    <row r="84" customFormat="false" ht="15" hidden="false" customHeight="false" outlineLevel="0" collapsed="false">
      <c r="A84" s="78" t="s">
        <v>64</v>
      </c>
      <c r="B84" s="79" t="s">
        <v>65</v>
      </c>
      <c r="C84" s="108" t="n">
        <f aca="false">IFERROR(IF(C73&lt;=C72,E71-(C74/(100*C72)*C73)*E71,E71-E74),0)</f>
        <v>0</v>
      </c>
      <c r="D84" s="81"/>
      <c r="E84" s="81"/>
    </row>
    <row r="85" customFormat="false" ht="15" hidden="false" customHeight="false" outlineLevel="0" collapsed="false">
      <c r="A85" s="78" t="s">
        <v>66</v>
      </c>
      <c r="B85" s="79" t="s">
        <v>65</v>
      </c>
      <c r="C85" s="81" t="n">
        <f aca="false">IFERROR(IF(C73&gt;=C72,C84,((((C84)-(E71-E74))*(((C72-C73)+1)/(2*(C72-C73))))+(E71-E74))),0)</f>
        <v>0</v>
      </c>
      <c r="D85" s="81"/>
      <c r="E85" s="81"/>
    </row>
    <row r="86" customFormat="false" ht="15.75" hidden="false" customHeight="false" outlineLevel="0" collapsed="false">
      <c r="A86" s="98" t="s">
        <v>67</v>
      </c>
      <c r="B86" s="99" t="s">
        <v>65</v>
      </c>
      <c r="C86" s="99"/>
      <c r="D86" s="100" t="n">
        <f aca="false">C83*C85/12/100</f>
        <v>0</v>
      </c>
      <c r="E86" s="100" t="n">
        <f aca="false">D86</f>
        <v>0</v>
      </c>
    </row>
    <row r="87" customFormat="false" ht="15.75" hidden="false" customHeight="false" outlineLevel="0" collapsed="false">
      <c r="A87" s="101" t="s">
        <v>59</v>
      </c>
      <c r="B87" s="75"/>
      <c r="C87" s="75"/>
      <c r="D87" s="76"/>
      <c r="E87" s="102" t="n">
        <f aca="false">E86</f>
        <v>0</v>
      </c>
    </row>
    <row r="88" customFormat="false" ht="15.75" hidden="false" customHeight="false" outlineLevel="0" collapsed="false">
      <c r="A88" s="74" t="s">
        <v>60</v>
      </c>
      <c r="B88" s="103" t="s">
        <v>35</v>
      </c>
      <c r="C88" s="79" t="n">
        <f aca="false">C77</f>
        <v>0</v>
      </c>
      <c r="D88" s="77" t="n">
        <f aca="false">E87</f>
        <v>0</v>
      </c>
      <c r="E88" s="102" t="n">
        <f aca="false">C88*D88</f>
        <v>0</v>
      </c>
    </row>
    <row r="89" customFormat="false" ht="15.75" hidden="false" customHeight="false" outlineLevel="0" collapsed="false">
      <c r="A89" s="1" t="s">
        <v>68</v>
      </c>
      <c r="C89" s="55"/>
      <c r="D89" s="85" t="s">
        <v>32</v>
      </c>
      <c r="E89" s="86" t="n">
        <f aca="false">$B$33</f>
        <v>1</v>
      </c>
      <c r="F89" s="90" t="n">
        <f aca="false">E88*E89</f>
        <v>0</v>
      </c>
    </row>
    <row r="90" customFormat="false" ht="11.25" hidden="false" customHeight="true" outlineLevel="0" collapsed="false"/>
    <row r="91" customFormat="false" ht="15.75" hidden="false" customHeight="false" outlineLevel="0" collapsed="false">
      <c r="A91" s="1" t="s">
        <v>69</v>
      </c>
    </row>
    <row r="92" customFormat="false" ht="15.75" hidden="false" customHeight="false" outlineLevel="0" collapsed="false">
      <c r="A92" s="66" t="s">
        <v>19</v>
      </c>
      <c r="B92" s="67" t="s">
        <v>20</v>
      </c>
      <c r="C92" s="67" t="s">
        <v>14</v>
      </c>
      <c r="D92" s="68" t="s">
        <v>21</v>
      </c>
      <c r="E92" s="68" t="s">
        <v>22</v>
      </c>
      <c r="F92" s="69" t="s">
        <v>23</v>
      </c>
    </row>
    <row r="93" customFormat="false" ht="15" hidden="false" customHeight="false" outlineLevel="0" collapsed="false">
      <c r="A93" s="70" t="s">
        <v>70</v>
      </c>
      <c r="B93" s="71" t="s">
        <v>35</v>
      </c>
      <c r="C93" s="73" t="n">
        <f aca="false">C71</f>
        <v>0</v>
      </c>
      <c r="D93" s="73" t="n">
        <f aca="false">0.01*D71</f>
        <v>0</v>
      </c>
      <c r="E93" s="73" t="n">
        <f aca="false">C93*D93</f>
        <v>0</v>
      </c>
    </row>
    <row r="94" customFormat="false" ht="15" hidden="false" customHeight="false" outlineLevel="0" collapsed="false">
      <c r="A94" s="78" t="s">
        <v>71</v>
      </c>
      <c r="B94" s="79" t="s">
        <v>35</v>
      </c>
      <c r="C94" s="73" t="n">
        <f aca="false">C71</f>
        <v>0</v>
      </c>
      <c r="D94" s="89" t="n">
        <v>0</v>
      </c>
      <c r="E94" s="81" t="n">
        <f aca="false">C94*D94</f>
        <v>0</v>
      </c>
    </row>
    <row r="95" customFormat="false" ht="15" hidden="false" customHeight="false" outlineLevel="0" collapsed="false">
      <c r="A95" s="78" t="s">
        <v>72</v>
      </c>
      <c r="B95" s="79" t="s">
        <v>35</v>
      </c>
      <c r="C95" s="73" t="n">
        <f aca="false">C71</f>
        <v>0</v>
      </c>
      <c r="D95" s="89" t="n">
        <v>0</v>
      </c>
      <c r="E95" s="81" t="n">
        <f aca="false">C95*D95</f>
        <v>0</v>
      </c>
      <c r="F95" s="76"/>
    </row>
    <row r="96" customFormat="false" ht="15.75" hidden="false" customHeight="false" outlineLevel="0" collapsed="false">
      <c r="A96" s="74" t="s">
        <v>73</v>
      </c>
      <c r="B96" s="103" t="s">
        <v>25</v>
      </c>
      <c r="C96" s="103"/>
      <c r="D96" s="77" t="n">
        <f aca="false">SUM(E93:E95)</f>
        <v>0</v>
      </c>
      <c r="E96" s="77" t="n">
        <v>0</v>
      </c>
    </row>
    <row r="97" customFormat="false" ht="15.75" hidden="false" customHeight="false" outlineLevel="0" collapsed="false">
      <c r="D97" s="85" t="s">
        <v>32</v>
      </c>
      <c r="E97" s="86" t="n">
        <f aca="false">$B$33</f>
        <v>1</v>
      </c>
      <c r="F97" s="87" t="n">
        <v>0</v>
      </c>
    </row>
    <row r="98" customFormat="false" ht="11.25" hidden="false" customHeight="true" outlineLevel="0" collapsed="false"/>
    <row r="99" customFormat="false" ht="15" hidden="false" customHeight="false" outlineLevel="0" collapsed="false">
      <c r="A99" s="1" t="s">
        <v>74</v>
      </c>
      <c r="B99" s="109"/>
    </row>
    <row r="100" customFormat="false" ht="15.75" hidden="false" customHeight="false" outlineLevel="0" collapsed="false">
      <c r="A100" s="74" t="s">
        <v>75</v>
      </c>
      <c r="B100" s="110" t="n">
        <v>0</v>
      </c>
      <c r="C100" s="111"/>
      <c r="D100" s="111"/>
      <c r="E100" s="111"/>
      <c r="F100" s="111"/>
    </row>
    <row r="101" customFormat="false" ht="15.75" hidden="false" customHeight="false" outlineLevel="0" collapsed="false">
      <c r="A101" s="66" t="s">
        <v>19</v>
      </c>
      <c r="B101" s="67" t="s">
        <v>20</v>
      </c>
      <c r="C101" s="67" t="s">
        <v>76</v>
      </c>
      <c r="D101" s="68" t="s">
        <v>21</v>
      </c>
      <c r="E101" s="68" t="s">
        <v>22</v>
      </c>
      <c r="F101" s="69" t="s">
        <v>23</v>
      </c>
    </row>
    <row r="102" customFormat="false" ht="15" hidden="false" customHeight="false" outlineLevel="0" collapsed="false">
      <c r="A102" s="70" t="s">
        <v>77</v>
      </c>
      <c r="B102" s="71" t="s">
        <v>78</v>
      </c>
      <c r="C102" s="112" t="n">
        <v>0</v>
      </c>
      <c r="D102" s="113" t="n">
        <v>0</v>
      </c>
      <c r="E102" s="73"/>
    </row>
    <row r="103" customFormat="false" ht="15" hidden="false" customHeight="false" outlineLevel="0" collapsed="false">
      <c r="A103" s="78" t="s">
        <v>79</v>
      </c>
      <c r="B103" s="79" t="s">
        <v>80</v>
      </c>
      <c r="C103" s="114" t="n">
        <f aca="false">B100</f>
        <v>0</v>
      </c>
      <c r="D103" s="115" t="str">
        <f aca="false">IFERROR(+D102/C102,"-")</f>
        <v>-</v>
      </c>
      <c r="E103" s="81" t="str">
        <f aca="false">IFERROR(C103*D103,"-")</f>
        <v>-</v>
      </c>
    </row>
    <row r="104" customFormat="false" ht="15" hidden="false" customHeight="false" outlineLevel="0" collapsed="false">
      <c r="A104" s="78" t="s">
        <v>81</v>
      </c>
      <c r="B104" s="79" t="s">
        <v>82</v>
      </c>
      <c r="C104" s="116" t="n">
        <v>0</v>
      </c>
      <c r="D104" s="89" t="n">
        <v>0</v>
      </c>
      <c r="E104" s="81"/>
    </row>
    <row r="105" customFormat="false" ht="15" hidden="false" customHeight="false" outlineLevel="0" collapsed="false">
      <c r="A105" s="78" t="s">
        <v>83</v>
      </c>
      <c r="B105" s="79" t="s">
        <v>80</v>
      </c>
      <c r="C105" s="114" t="n">
        <f aca="false">C103</f>
        <v>0</v>
      </c>
      <c r="D105" s="117" t="n">
        <f aca="false">C104*D104/1000</f>
        <v>0</v>
      </c>
      <c r="E105" s="81" t="n">
        <f aca="false">C105*D105</f>
        <v>0</v>
      </c>
    </row>
    <row r="106" customFormat="false" ht="15" hidden="false" customHeight="false" outlineLevel="0" collapsed="false">
      <c r="A106" s="78" t="s">
        <v>84</v>
      </c>
      <c r="B106" s="79" t="s">
        <v>85</v>
      </c>
      <c r="C106" s="116" t="n">
        <v>0</v>
      </c>
      <c r="D106" s="89" t="n">
        <v>0</v>
      </c>
      <c r="E106" s="81"/>
    </row>
    <row r="107" customFormat="false" ht="15" hidden="false" customHeight="false" outlineLevel="0" collapsed="false">
      <c r="A107" s="78" t="s">
        <v>86</v>
      </c>
      <c r="B107" s="79" t="s">
        <v>80</v>
      </c>
      <c r="C107" s="114" t="n">
        <f aca="false">C103</f>
        <v>0</v>
      </c>
      <c r="D107" s="117" t="n">
        <f aca="false">+C106*D106/1000</f>
        <v>0</v>
      </c>
      <c r="E107" s="81" t="n">
        <f aca="false">C107*D107</f>
        <v>0</v>
      </c>
    </row>
    <row r="108" customFormat="false" ht="15.75" hidden="false" customHeight="false" outlineLevel="0" collapsed="false">
      <c r="A108" s="74" t="s">
        <v>87</v>
      </c>
      <c r="B108" s="103" t="s">
        <v>88</v>
      </c>
      <c r="C108" s="118"/>
      <c r="D108" s="119"/>
      <c r="E108" s="81"/>
    </row>
    <row r="109" customFormat="false" ht="15.75" hidden="false" customHeight="false" outlineLevel="0" collapsed="false">
      <c r="F109" s="90" t="n">
        <f aca="false">SUM(E102:E107)</f>
        <v>0</v>
      </c>
    </row>
    <row r="110" customFormat="false" ht="11.25" hidden="false" customHeight="true" outlineLevel="0" collapsed="false"/>
    <row r="111" customFormat="false" ht="15.75" hidden="false" customHeight="false" outlineLevel="0" collapsed="false">
      <c r="A111" s="1" t="s">
        <v>89</v>
      </c>
    </row>
    <row r="112" customFormat="false" ht="15.75" hidden="false" customHeight="false" outlineLevel="0" collapsed="false">
      <c r="A112" s="66" t="s">
        <v>19</v>
      </c>
      <c r="B112" s="67" t="s">
        <v>20</v>
      </c>
      <c r="C112" s="67" t="s">
        <v>14</v>
      </c>
      <c r="D112" s="68" t="s">
        <v>21</v>
      </c>
      <c r="E112" s="68" t="s">
        <v>22</v>
      </c>
      <c r="F112" s="69" t="s">
        <v>23</v>
      </c>
    </row>
    <row r="113" customFormat="false" ht="15" hidden="false" customHeight="false" outlineLevel="0" collapsed="false">
      <c r="A113" s="70" t="s">
        <v>90</v>
      </c>
      <c r="B113" s="71" t="s">
        <v>88</v>
      </c>
      <c r="C113" s="114" t="n">
        <f aca="false">C103</f>
        <v>0</v>
      </c>
      <c r="D113" s="72" t="n">
        <v>0</v>
      </c>
      <c r="E113" s="73" t="n">
        <f aca="false">C113*D113</f>
        <v>0</v>
      </c>
    </row>
    <row r="114" customFormat="false" ht="15.75" hidden="false" customHeight="false" outlineLevel="0" collapsed="false">
      <c r="A114" s="78" t="s">
        <v>91</v>
      </c>
      <c r="B114" s="79" t="s">
        <v>92</v>
      </c>
      <c r="C114" s="114"/>
      <c r="D114" s="89"/>
      <c r="E114" s="81" t="n">
        <f aca="false">C114*D114</f>
        <v>0</v>
      </c>
    </row>
    <row r="115" customFormat="false" ht="15.75" hidden="false" customHeight="false" outlineLevel="0" collapsed="false">
      <c r="F115" s="90" t="n">
        <f aca="false">E113+E114</f>
        <v>0</v>
      </c>
    </row>
    <row r="116" customFormat="false" ht="11.25" hidden="false" customHeight="true" outlineLevel="0" collapsed="false"/>
    <row r="117" customFormat="false" ht="15.75" hidden="false" customHeight="false" outlineLevel="0" collapsed="false">
      <c r="A117" s="1" t="s">
        <v>93</v>
      </c>
    </row>
    <row r="118" customFormat="false" ht="15.75" hidden="false" customHeight="false" outlineLevel="0" collapsed="false">
      <c r="A118" s="66" t="s">
        <v>19</v>
      </c>
      <c r="B118" s="67" t="s">
        <v>20</v>
      </c>
      <c r="C118" s="67" t="s">
        <v>14</v>
      </c>
      <c r="D118" s="68" t="s">
        <v>21</v>
      </c>
      <c r="E118" s="68" t="s">
        <v>22</v>
      </c>
      <c r="F118" s="69" t="s">
        <v>23</v>
      </c>
    </row>
    <row r="119" customFormat="false" ht="15" hidden="false" customHeight="false" outlineLevel="0" collapsed="false">
      <c r="A119" s="70" t="s">
        <v>94</v>
      </c>
      <c r="B119" s="71" t="s">
        <v>35</v>
      </c>
      <c r="C119" s="120" t="n">
        <v>0</v>
      </c>
      <c r="D119" s="72" t="n">
        <v>0</v>
      </c>
      <c r="E119" s="73" t="n">
        <f aca="false">C119*D119</f>
        <v>0</v>
      </c>
    </row>
    <row r="120" customFormat="false" ht="15" hidden="false" customHeight="false" outlineLevel="0" collapsed="false">
      <c r="A120" s="70" t="s">
        <v>95</v>
      </c>
      <c r="B120" s="71" t="s">
        <v>35</v>
      </c>
      <c r="C120" s="120" t="n">
        <v>0</v>
      </c>
      <c r="D120" s="73"/>
      <c r="E120" s="73"/>
    </row>
    <row r="121" customFormat="false" ht="15" hidden="false" customHeight="false" outlineLevel="0" collapsed="false">
      <c r="A121" s="70" t="s">
        <v>96</v>
      </c>
      <c r="B121" s="71" t="s">
        <v>35</v>
      </c>
      <c r="C121" s="73" t="n">
        <f aca="false">C119*C120</f>
        <v>0</v>
      </c>
      <c r="D121" s="72" t="n">
        <v>0</v>
      </c>
      <c r="E121" s="73" t="n">
        <f aca="false">C121*D121</f>
        <v>0</v>
      </c>
    </row>
    <row r="122" customFormat="false" ht="15" hidden="false" customHeight="false" outlineLevel="0" collapsed="false">
      <c r="A122" s="78" t="s">
        <v>97</v>
      </c>
      <c r="B122" s="79" t="s">
        <v>98</v>
      </c>
      <c r="C122" s="121" t="n">
        <v>0</v>
      </c>
      <c r="D122" s="81" t="n">
        <f aca="false">E119+E121</f>
        <v>0</v>
      </c>
      <c r="E122" s="81" t="str">
        <f aca="false">IFERROR(D122/C122,"-")</f>
        <v>-</v>
      </c>
    </row>
    <row r="123" customFormat="false" ht="15.75" hidden="false" customHeight="false" outlineLevel="0" collapsed="false">
      <c r="A123" s="78" t="s">
        <v>99</v>
      </c>
      <c r="B123" s="79" t="s">
        <v>80</v>
      </c>
      <c r="C123" s="114" t="n">
        <f aca="false">B100</f>
        <v>0</v>
      </c>
      <c r="D123" s="81" t="str">
        <f aca="false">E122</f>
        <v>-</v>
      </c>
      <c r="E123" s="81" t="n">
        <f aca="false">IFERROR(C123*D123,0)</f>
        <v>0</v>
      </c>
    </row>
    <row r="124" customFormat="false" ht="15.75" hidden="false" customHeight="false" outlineLevel="0" collapsed="false">
      <c r="F124" s="90" t="n">
        <f aca="false">E123</f>
        <v>0</v>
      </c>
    </row>
    <row r="125" customFormat="false" ht="11.25" hidden="false" customHeight="true" outlineLevel="0" collapsed="false"/>
    <row r="126" customFormat="false" ht="15.75" hidden="false" customHeight="false" outlineLevel="0" collapsed="false">
      <c r="A126" s="91" t="s">
        <v>100</v>
      </c>
      <c r="B126" s="91"/>
      <c r="C126" s="91"/>
      <c r="D126" s="91"/>
      <c r="E126" s="91"/>
      <c r="F126" s="92" t="n">
        <f aca="false">+SUM(F71:F125)</f>
        <v>0</v>
      </c>
    </row>
    <row r="127" customFormat="false" ht="11.25" hidden="false" customHeight="true" outlineLevel="0" collapsed="false"/>
    <row r="128" customFormat="false" ht="15.75" hidden="false" customHeight="false" outlineLevel="0" collapsed="false">
      <c r="A128" s="65"/>
      <c r="B128" s="65"/>
      <c r="C128" s="65"/>
      <c r="D128" s="122"/>
      <c r="E128" s="122"/>
      <c r="F128" s="76"/>
    </row>
    <row r="129" customFormat="false" ht="15.75" hidden="false" customHeight="false" outlineLevel="0" collapsed="false">
      <c r="A129" s="66" t="s">
        <v>19</v>
      </c>
      <c r="B129" s="67" t="s">
        <v>20</v>
      </c>
      <c r="C129" s="67" t="s">
        <v>14</v>
      </c>
      <c r="D129" s="68" t="s">
        <v>21</v>
      </c>
      <c r="E129" s="68" t="s">
        <v>22</v>
      </c>
      <c r="F129" s="69" t="s">
        <v>23</v>
      </c>
    </row>
    <row r="130" customFormat="false" ht="15" hidden="false" customHeight="false" outlineLevel="0" collapsed="false">
      <c r="A130" s="78" t="s">
        <v>101</v>
      </c>
      <c r="B130" s="79" t="s">
        <v>102</v>
      </c>
      <c r="C130" s="96" t="n">
        <v>850</v>
      </c>
      <c r="D130" s="89" t="n">
        <v>112</v>
      </c>
      <c r="E130" s="81" t="n">
        <f aca="false">+D130*C130</f>
        <v>95200</v>
      </c>
    </row>
    <row r="131" s="123" customFormat="true" ht="11.25" hidden="false" customHeight="true" outlineLevel="0" collapsed="false">
      <c r="A131" s="1"/>
      <c r="B131" s="1"/>
      <c r="C131" s="1"/>
      <c r="D131" s="2"/>
      <c r="E131" s="2"/>
      <c r="F131" s="3"/>
    </row>
    <row r="132" customFormat="false" ht="15.75" hidden="false" customHeight="false" outlineLevel="0" collapsed="false">
      <c r="A132" s="124" t="s">
        <v>103</v>
      </c>
      <c r="B132" s="125"/>
      <c r="C132" s="125"/>
      <c r="D132" s="40"/>
      <c r="E132" s="126"/>
      <c r="F132" s="90" t="n">
        <f aca="false">E130</f>
        <v>95200</v>
      </c>
    </row>
    <row r="133" customFormat="false" ht="11.25" hidden="false" customHeight="true" outlineLevel="0" collapsed="false"/>
    <row r="134" customFormat="false" ht="17.25" hidden="false" customHeight="true" outlineLevel="0" collapsed="false">
      <c r="A134" s="91" t="s">
        <v>104</v>
      </c>
      <c r="B134" s="91"/>
      <c r="C134" s="91"/>
      <c r="D134" s="91"/>
      <c r="E134" s="91"/>
      <c r="F134" s="92" t="n">
        <f aca="false">+F51+F65+F126+F132</f>
        <v>95200</v>
      </c>
    </row>
    <row r="135" customFormat="false" ht="12.75" hidden="false" customHeight="true" outlineLevel="0" collapsed="false"/>
    <row r="136" customFormat="false" ht="15.75" hidden="false" customHeight="false" outlineLevel="0" collapsed="false">
      <c r="A136" s="65" t="s">
        <v>105</v>
      </c>
    </row>
    <row r="137" customFormat="false" ht="15.75" hidden="false" customHeight="false" outlineLevel="0" collapsed="false">
      <c r="A137" s="66" t="s">
        <v>19</v>
      </c>
      <c r="B137" s="67" t="s">
        <v>20</v>
      </c>
      <c r="C137" s="67" t="s">
        <v>14</v>
      </c>
      <c r="D137" s="68" t="s">
        <v>21</v>
      </c>
      <c r="E137" s="68" t="s">
        <v>22</v>
      </c>
      <c r="F137" s="69" t="s">
        <v>23</v>
      </c>
    </row>
    <row r="138" customFormat="false" ht="15.75" hidden="false" customHeight="false" outlineLevel="0" collapsed="false">
      <c r="A138" s="70" t="s">
        <v>106</v>
      </c>
      <c r="B138" s="71" t="s">
        <v>8</v>
      </c>
      <c r="C138" s="80"/>
      <c r="D138" s="73"/>
      <c r="E138" s="73" t="n">
        <f aca="false">C138*D138/100</f>
        <v>0</v>
      </c>
    </row>
    <row r="139" customFormat="false" ht="15.75" hidden="false" customHeight="false" outlineLevel="0" collapsed="false">
      <c r="F139" s="90" t="n">
        <f aca="false">+E138</f>
        <v>0</v>
      </c>
    </row>
    <row r="140" customFormat="false" ht="11.25" hidden="false" customHeight="true" outlineLevel="0" collapsed="false"/>
    <row r="141" customFormat="false" ht="15.75" hidden="false" customHeight="false" outlineLevel="0" collapsed="false">
      <c r="A141" s="127" t="s">
        <v>107</v>
      </c>
      <c r="B141" s="127"/>
      <c r="C141" s="127"/>
      <c r="D141" s="127"/>
      <c r="E141" s="127"/>
      <c r="F141" s="128" t="n">
        <f aca="false">F139</f>
        <v>0</v>
      </c>
    </row>
    <row r="142" customFormat="false" ht="15" hidden="false" customHeight="false" outlineLevel="0" collapsed="false">
      <c r="A142" s="65"/>
      <c r="B142" s="65"/>
      <c r="C142" s="65"/>
      <c r="D142" s="122"/>
      <c r="E142" s="122"/>
      <c r="F142" s="76"/>
    </row>
    <row r="143" customFormat="false" ht="15" hidden="false" customHeight="false" outlineLevel="0" collapsed="false">
      <c r="A143" s="74" t="s">
        <v>108</v>
      </c>
      <c r="B143" s="74"/>
      <c r="C143" s="74"/>
      <c r="D143" s="129"/>
      <c r="E143" s="129"/>
      <c r="F143" s="77" t="n">
        <f aca="false">B100</f>
        <v>0</v>
      </c>
    </row>
    <row r="144" customFormat="false" ht="15" hidden="false" customHeight="false" outlineLevel="0" collapsed="false">
      <c r="A144" s="74" t="s">
        <v>109</v>
      </c>
      <c r="B144" s="74"/>
      <c r="C144" s="74"/>
      <c r="D144" s="129"/>
      <c r="E144" s="129"/>
      <c r="F144" s="77" t="n">
        <v>0</v>
      </c>
    </row>
    <row r="145" customFormat="false" ht="24.75" hidden="false" customHeight="true" outlineLevel="0" collapsed="false">
      <c r="A145" s="130" t="s">
        <v>110</v>
      </c>
      <c r="B145" s="131"/>
      <c r="C145" s="131"/>
      <c r="D145" s="132"/>
      <c r="E145" s="133"/>
      <c r="F145" s="134" t="n">
        <f aca="false">F134+F141</f>
        <v>95200</v>
      </c>
    </row>
    <row r="146" customFormat="false" ht="24.75" hidden="true" customHeight="true" outlineLevel="0" collapsed="false">
      <c r="A146" s="65"/>
      <c r="F146" s="135"/>
    </row>
    <row r="147" customFormat="false" ht="24.75" hidden="true" customHeight="true" outlineLevel="0" collapsed="false">
      <c r="A147" s="124" t="s">
        <v>111</v>
      </c>
      <c r="B147" s="136"/>
      <c r="C147" s="136"/>
      <c r="D147" s="137"/>
      <c r="E147" s="138"/>
      <c r="F147" s="90" t="n">
        <f aca="false">F145/C130</f>
        <v>112</v>
      </c>
    </row>
    <row r="148" customFormat="false" ht="22.15" hidden="false" customHeight="true" outlineLevel="0" collapsed="false"/>
    <row r="149" customFormat="false" ht="20.45" hidden="false" customHeight="true" outlineLevel="0" collapsed="false"/>
    <row r="151" customFormat="false" ht="27" hidden="false" customHeight="true" outlineLevel="0" collapsed="false"/>
    <row r="178" customFormat="false" ht="9" hidden="false" customHeight="true" outlineLevel="0" collapsed="false"/>
  </sheetData>
  <mergeCells count="14">
    <mergeCell ref="A4:F4"/>
    <mergeCell ref="A5:F5"/>
    <mergeCell ref="A7:F7"/>
    <mergeCell ref="A12:C12"/>
    <mergeCell ref="A25:E25"/>
    <mergeCell ref="A26:D26"/>
    <mergeCell ref="A30:D30"/>
    <mergeCell ref="C33:F33"/>
    <mergeCell ref="A51:E51"/>
    <mergeCell ref="A65:E65"/>
    <mergeCell ref="C100:F100"/>
    <mergeCell ref="A126:E126"/>
    <mergeCell ref="A134:E134"/>
    <mergeCell ref="A141:E141"/>
  </mergeCells>
  <hyperlinks>
    <hyperlink ref="A69" location="AbaDeprec" display="3.1.1. Depreciação"/>
    <hyperlink ref="A80" location="AbaRemun" display="3.1.2. Remuneração do Capital"/>
  </hyperlinks>
  <printOptions headings="false" gridLines="false" gridLinesSet="true" horizontalCentered="true" verticalCentered="false"/>
  <pageMargins left="0.118055555555556" right="0.118055555555556" top="0.157638888888889" bottom="0.158333333333333" header="0.511805555555555" footer="0.315277777777778"/>
  <pageSetup paperSize="9" scale="7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&amp;R&amp;P de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53"/>
  <sheetViews>
    <sheetView showFormulas="false" showGridLines="true" showRowColHeaders="true" showZeros="true" rightToLeft="false" tabSelected="false" showOutlineSymbols="true" defaultGridColor="true" view="normal" topLeftCell="A19" colorId="64" zoomScale="75" zoomScaleNormal="75" zoomScalePageLayoutView="100" workbookViewId="0">
      <selection pane="topLeft" activeCell="C9" activeCellId="0" sqref="C9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39" width="13.57"/>
    <col collapsed="false" customWidth="true" hidden="false" outlineLevel="0" max="2" min="2" style="139" width="36.71"/>
    <col collapsed="false" customWidth="true" hidden="false" outlineLevel="0" max="3" min="3" style="139" width="14.57"/>
    <col collapsed="false" customWidth="true" hidden="false" outlineLevel="0" max="4" min="4" style="139" width="37.3"/>
    <col collapsed="false" customWidth="false" hidden="false" outlineLevel="0" max="10" min="5" style="139" width="9.13"/>
    <col collapsed="false" customWidth="true" hidden="false" outlineLevel="0" max="11" min="11" style="139" width="10.99"/>
    <col collapsed="false" customWidth="false" hidden="false" outlineLevel="0" max="1024" min="12" style="139" width="9.13"/>
  </cols>
  <sheetData>
    <row r="1" customFormat="false" ht="12.75" hidden="false" customHeight="false" outlineLevel="0" collapsed="false">
      <c r="A1" s="140" t="s">
        <v>112</v>
      </c>
    </row>
    <row r="2" customFormat="false" ht="12.75" hidden="false" customHeight="false" outlineLevel="0" collapsed="false">
      <c r="A2" s="141" t="s">
        <v>113</v>
      </c>
    </row>
    <row r="3" customFormat="false" ht="13.5" hidden="false" customHeight="false" outlineLevel="0" collapsed="false"/>
    <row r="4" customFormat="false" ht="18" hidden="false" customHeight="false" outlineLevel="0" collapsed="false">
      <c r="A4" s="142" t="s">
        <v>114</v>
      </c>
      <c r="B4" s="142"/>
      <c r="C4" s="142"/>
      <c r="D4" s="143"/>
      <c r="E4" s="143"/>
      <c r="F4" s="143"/>
    </row>
    <row r="5" customFormat="false" ht="14.25" hidden="false" customHeight="false" outlineLevel="0" collapsed="false">
      <c r="A5" s="144" t="s">
        <v>115</v>
      </c>
      <c r="B5" s="145" t="s">
        <v>116</v>
      </c>
      <c r="C5" s="146" t="s">
        <v>117</v>
      </c>
      <c r="D5" s="147"/>
    </row>
    <row r="6" customFormat="false" ht="14.25" hidden="false" customHeight="false" outlineLevel="0" collapsed="false">
      <c r="A6" s="144" t="s">
        <v>118</v>
      </c>
      <c r="B6" s="145" t="s">
        <v>119</v>
      </c>
      <c r="C6" s="148" t="n">
        <v>0.2</v>
      </c>
      <c r="D6" s="147"/>
    </row>
    <row r="7" customFormat="false" ht="14.25" hidden="false" customHeight="false" outlineLevel="0" collapsed="false">
      <c r="A7" s="144" t="s">
        <v>120</v>
      </c>
      <c r="B7" s="145" t="s">
        <v>121</v>
      </c>
      <c r="C7" s="148" t="n">
        <v>0.01</v>
      </c>
      <c r="D7" s="147"/>
    </row>
    <row r="8" customFormat="false" ht="14.25" hidden="false" customHeight="false" outlineLevel="0" collapsed="false">
      <c r="A8" s="144" t="s">
        <v>122</v>
      </c>
      <c r="B8" s="145" t="s">
        <v>123</v>
      </c>
      <c r="C8" s="148" t="n">
        <v>0.01</v>
      </c>
      <c r="D8" s="147"/>
    </row>
    <row r="9" customFormat="false" ht="14.25" hidden="false" customHeight="false" outlineLevel="0" collapsed="false">
      <c r="A9" s="144" t="s">
        <v>124</v>
      </c>
      <c r="B9" s="145" t="s">
        <v>125</v>
      </c>
      <c r="C9" s="148"/>
      <c r="D9" s="147"/>
    </row>
    <row r="10" customFormat="false" ht="14.25" hidden="false" customHeight="false" outlineLevel="0" collapsed="false">
      <c r="A10" s="144" t="s">
        <v>126</v>
      </c>
      <c r="B10" s="145" t="s">
        <v>127</v>
      </c>
      <c r="C10" s="148" t="n">
        <v>0.006</v>
      </c>
      <c r="D10" s="147"/>
    </row>
    <row r="11" customFormat="false" ht="14.25" hidden="false" customHeight="false" outlineLevel="0" collapsed="false">
      <c r="A11" s="144" t="s">
        <v>128</v>
      </c>
      <c r="B11" s="145" t="s">
        <v>129</v>
      </c>
      <c r="C11" s="148" t="n">
        <v>0.025</v>
      </c>
      <c r="D11" s="147"/>
    </row>
    <row r="12" customFormat="false" ht="14.25" hidden="false" customHeight="false" outlineLevel="0" collapsed="false">
      <c r="A12" s="144" t="s">
        <v>130</v>
      </c>
      <c r="B12" s="145" t="s">
        <v>131</v>
      </c>
      <c r="C12" s="148" t="n">
        <v>0.03</v>
      </c>
      <c r="D12" s="147"/>
    </row>
    <row r="13" customFormat="false" ht="14.25" hidden="false" customHeight="false" outlineLevel="0" collapsed="false">
      <c r="A13" s="144" t="s">
        <v>132</v>
      </c>
      <c r="B13" s="145" t="s">
        <v>133</v>
      </c>
      <c r="C13" s="148" t="n">
        <v>0.08</v>
      </c>
      <c r="D13" s="147"/>
    </row>
    <row r="14" customFormat="false" ht="15" hidden="false" customHeight="false" outlineLevel="0" collapsed="false">
      <c r="A14" s="144" t="s">
        <v>134</v>
      </c>
      <c r="B14" s="149" t="s">
        <v>135</v>
      </c>
      <c r="C14" s="150" t="n">
        <f aca="false">SUM(C6:C13)</f>
        <v>0.361</v>
      </c>
      <c r="D14" s="147"/>
    </row>
    <row r="15" customFormat="false" ht="15" hidden="false" customHeight="false" outlineLevel="0" collapsed="false">
      <c r="A15" s="151"/>
      <c r="B15" s="152"/>
      <c r="C15" s="153"/>
      <c r="D15" s="147"/>
    </row>
    <row r="16" customFormat="false" ht="14.25" hidden="false" customHeight="false" outlineLevel="0" collapsed="false">
      <c r="A16" s="144" t="s">
        <v>136</v>
      </c>
      <c r="B16" s="145" t="s">
        <v>137</v>
      </c>
      <c r="C16" s="148" t="n">
        <f aca="false">ROUND(IF('3.CAGED'!C39&gt;24,(1-12/'3.CAGED'!C39)*0.1111,0.1111-C25),4)</f>
        <v>0.0605</v>
      </c>
      <c r="D16" s="147"/>
    </row>
    <row r="17" customFormat="false" ht="14.25" hidden="false" customHeight="false" outlineLevel="0" collapsed="false">
      <c r="A17" s="144" t="s">
        <v>138</v>
      </c>
      <c r="B17" s="145" t="s">
        <v>139</v>
      </c>
      <c r="C17" s="148" t="n">
        <f aca="false">ROUND('3.CAGED'!C33/'3.CAGED'!C30,4)</f>
        <v>0.0833</v>
      </c>
      <c r="D17" s="147"/>
    </row>
    <row r="18" customFormat="false" ht="14.25" hidden="false" customHeight="false" outlineLevel="0" collapsed="false">
      <c r="A18" s="144" t="s">
        <v>140</v>
      </c>
      <c r="B18" s="145" t="s">
        <v>141</v>
      </c>
      <c r="C18" s="148" t="n">
        <v>0.0006</v>
      </c>
      <c r="D18" s="147"/>
    </row>
    <row r="19" customFormat="false" ht="14.25" hidden="false" customHeight="false" outlineLevel="0" collapsed="false">
      <c r="A19" s="144" t="s">
        <v>142</v>
      </c>
      <c r="B19" s="145" t="s">
        <v>143</v>
      </c>
      <c r="C19" s="148" t="n">
        <v>0.0082</v>
      </c>
      <c r="D19" s="147"/>
    </row>
    <row r="20" customFormat="false" ht="14.25" hidden="false" customHeight="false" outlineLevel="0" collapsed="false">
      <c r="A20" s="144" t="s">
        <v>144</v>
      </c>
      <c r="B20" s="145" t="s">
        <v>145</v>
      </c>
      <c r="C20" s="148" t="n">
        <v>0.0031</v>
      </c>
      <c r="D20" s="147"/>
    </row>
    <row r="21" customFormat="false" ht="14.25" hidden="false" customHeight="false" outlineLevel="0" collapsed="false">
      <c r="A21" s="144" t="s">
        <v>146</v>
      </c>
      <c r="B21" s="145" t="s">
        <v>147</v>
      </c>
      <c r="C21" s="148" t="n">
        <v>0.0166</v>
      </c>
      <c r="D21" s="147"/>
    </row>
    <row r="22" customFormat="false" ht="15" hidden="false" customHeight="false" outlineLevel="0" collapsed="false">
      <c r="A22" s="144" t="s">
        <v>148</v>
      </c>
      <c r="B22" s="149" t="s">
        <v>149</v>
      </c>
      <c r="C22" s="150" t="n">
        <f aca="false">SUM(C16:C21)</f>
        <v>0.1723</v>
      </c>
      <c r="D22" s="154"/>
    </row>
    <row r="23" customFormat="false" ht="15" hidden="false" customHeight="false" outlineLevel="0" collapsed="false">
      <c r="A23" s="151"/>
      <c r="B23" s="152"/>
      <c r="C23" s="153"/>
      <c r="D23" s="154"/>
    </row>
    <row r="24" customFormat="false" ht="14.25" hidden="false" customHeight="false" outlineLevel="0" collapsed="false">
      <c r="A24" s="144" t="s">
        <v>150</v>
      </c>
      <c r="B24" s="145" t="s">
        <v>151</v>
      </c>
      <c r="C24" s="148" t="n">
        <f aca="false">ROUND(('3.CAGED'!C38) *'3.CAGED'!C29/'3.CAGED'!C30,4)</f>
        <v>0.038</v>
      </c>
      <c r="D24" s="147"/>
      <c r="E24" s="155"/>
    </row>
    <row r="25" customFormat="false" ht="14.25" hidden="false" customHeight="false" outlineLevel="0" collapsed="false">
      <c r="A25" s="144" t="s">
        <v>152</v>
      </c>
      <c r="B25" s="145" t="s">
        <v>153</v>
      </c>
      <c r="C25" s="148" t="n">
        <f aca="false">ROUND(IF('3.CAGED'!C39&gt;12,12/'3.CAGED'!C39*0.1111,0.1111),4)</f>
        <v>0.0506</v>
      </c>
      <c r="D25" s="147"/>
      <c r="H25" s="156"/>
    </row>
    <row r="26" customFormat="false" ht="14.25" hidden="false" customHeight="false" outlineLevel="0" collapsed="false">
      <c r="A26" s="144" t="s">
        <v>154</v>
      </c>
      <c r="B26" s="145" t="s">
        <v>155</v>
      </c>
      <c r="C26" s="148" t="n">
        <f aca="false">ROUND(('3.CAGED'!C32+'3.CAGED'!C31)/360*C24,4)</f>
        <v>0.0042</v>
      </c>
      <c r="D26" s="147"/>
    </row>
    <row r="27" customFormat="false" ht="14.25" hidden="false" customHeight="false" outlineLevel="0" collapsed="false">
      <c r="A27" s="144" t="s">
        <v>156</v>
      </c>
      <c r="B27" s="145" t="s">
        <v>157</v>
      </c>
      <c r="C27" s="148" t="n">
        <f aca="false">ROUND(('3.CAGED'!C30+'3.CAGED'!C31+'3.CAGED'!C33)/'3.CAGED'!C28*'3.CAGED'!C35*'3.CAGED'!C36*'3.CAGED'!C29/'3.CAGED'!C30,4)</f>
        <v>0.0371</v>
      </c>
      <c r="D27" s="147"/>
      <c r="G27" s="155"/>
    </row>
    <row r="28" customFormat="false" ht="14.25" hidden="false" customHeight="false" outlineLevel="0" collapsed="false">
      <c r="A28" s="144" t="s">
        <v>158</v>
      </c>
      <c r="B28" s="145" t="s">
        <v>159</v>
      </c>
      <c r="C28" s="148" t="n">
        <f aca="false">ROUND(('3.CAGED'!C32/'3.CAGED'!C30)*'3.CAGED'!C29/12,4)</f>
        <v>0.0026</v>
      </c>
      <c r="D28" s="147"/>
    </row>
    <row r="29" customFormat="false" ht="15" hidden="false" customHeight="false" outlineLevel="0" collapsed="false">
      <c r="A29" s="144" t="s">
        <v>160</v>
      </c>
      <c r="B29" s="149" t="s">
        <v>161</v>
      </c>
      <c r="C29" s="150" t="n">
        <f aca="false">SUM(C24:C28)</f>
        <v>0.1325</v>
      </c>
      <c r="D29" s="154"/>
    </row>
    <row r="30" customFormat="false" ht="15" hidden="false" customHeight="false" outlineLevel="0" collapsed="false">
      <c r="A30" s="151"/>
      <c r="B30" s="152"/>
      <c r="C30" s="153"/>
      <c r="D30" s="154"/>
    </row>
    <row r="31" customFormat="false" ht="14.25" hidden="false" customHeight="false" outlineLevel="0" collapsed="false">
      <c r="A31" s="144" t="s">
        <v>162</v>
      </c>
      <c r="B31" s="145" t="s">
        <v>163</v>
      </c>
      <c r="C31" s="148" t="n">
        <f aca="false">ROUND(C14*C22,4)</f>
        <v>0.0622</v>
      </c>
      <c r="D31" s="147"/>
    </row>
    <row r="32" customFormat="false" ht="28.5" hidden="false" customHeight="false" outlineLevel="0" collapsed="false">
      <c r="A32" s="144" t="s">
        <v>164</v>
      </c>
      <c r="B32" s="157" t="s">
        <v>165</v>
      </c>
      <c r="C32" s="148" t="n">
        <f aca="false">ROUND((C24*C14),4)</f>
        <v>0.0137</v>
      </c>
      <c r="D32" s="147"/>
    </row>
    <row r="33" customFormat="false" ht="15" hidden="false" customHeight="false" outlineLevel="0" collapsed="false">
      <c r="A33" s="144" t="s">
        <v>166</v>
      </c>
      <c r="B33" s="149" t="s">
        <v>167</v>
      </c>
      <c r="C33" s="150" t="n">
        <f aca="false">SUM(C31:C32)</f>
        <v>0.0759</v>
      </c>
      <c r="D33" s="154"/>
    </row>
    <row r="34" customFormat="false" ht="15.75" hidden="false" customHeight="false" outlineLevel="0" collapsed="false">
      <c r="A34" s="158"/>
      <c r="B34" s="159" t="s">
        <v>168</v>
      </c>
      <c r="C34" s="160" t="n">
        <f aca="false">C33+C29+C22+C14</f>
        <v>0.7417</v>
      </c>
      <c r="D34" s="154"/>
    </row>
    <row r="35" customFormat="false" ht="15" hidden="false" customHeight="false" outlineLevel="0" collapsed="false">
      <c r="A35" s="147"/>
      <c r="B35" s="161"/>
      <c r="C35" s="162"/>
      <c r="D35" s="163"/>
    </row>
    <row r="36" customFormat="false" ht="14.25" hidden="false" customHeight="false" outlineLevel="0" collapsed="false">
      <c r="A36" s="147"/>
      <c r="B36" s="147"/>
      <c r="C36" s="164"/>
      <c r="D36" s="165"/>
    </row>
    <row r="37" customFormat="false" ht="14.25" hidden="false" customHeight="false" outlineLevel="0" collapsed="false"/>
    <row r="38" customFormat="false" ht="14.25" hidden="false" customHeight="false" outlineLevel="0" collapsed="false"/>
    <row r="39" customFormat="false" ht="14.25" hidden="false" customHeight="false" outlineLevel="0" collapsed="false"/>
    <row r="40" customFormat="false" ht="15" hidden="false" customHeight="false" outlineLevel="0" collapsed="false"/>
    <row r="41" customFormat="false" ht="15" hidden="false" customHeight="false" outlineLevel="0" collapsed="false"/>
    <row r="42" customFormat="false" ht="16.5" hidden="false" customHeight="false" outlineLevel="0" collapsed="false"/>
    <row r="44" customFormat="false" ht="14.25" hidden="false" customHeight="false" outlineLevel="0" collapsed="false"/>
    <row r="45" customFormat="false" ht="14.25" hidden="false" customHeight="false" outlineLevel="0" collapsed="false"/>
    <row r="46" customFormat="false" ht="14.25" hidden="false" customHeight="false" outlineLevel="0" collapsed="false"/>
    <row r="47" customFormat="false" ht="14.25" hidden="false" customHeight="false" outlineLevel="0" collapsed="false"/>
    <row r="48" customFormat="false" ht="14.25" hidden="false" customHeight="false" outlineLevel="0" collapsed="false"/>
    <row r="49" customFormat="false" ht="14.25" hidden="false" customHeight="false" outlineLevel="0" collapsed="false"/>
    <row r="50" customFormat="false" ht="14.25" hidden="false" customHeight="false" outlineLevel="0" collapsed="false"/>
    <row r="51" customFormat="false" ht="14.25" hidden="false" customHeight="false" outlineLevel="0" collapsed="false"/>
    <row r="52" customFormat="false" ht="14.25" hidden="false" customHeight="false" outlineLevel="0" collapsed="false"/>
    <row r="53" customFormat="false" ht="16.5" hidden="false" customHeight="false" outlineLevel="0" collapsed="false"/>
  </sheetData>
  <mergeCells count="1">
    <mergeCell ref="A4:C4"/>
  </mergeCells>
  <printOptions headings="false" gridLines="false" gridLinesSet="true" horizontalCentered="false" verticalCentered="false"/>
  <pageMargins left="0.905555555555556" right="0.511805555555555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41"/>
  <sheetViews>
    <sheetView showFormulas="false" showGridLines="true" showRowColHeaders="true" showZeros="true" rightToLeft="false" tabSelected="false" showOutlineSymbols="true" defaultGridColor="true" view="normal" topLeftCell="A22" colorId="64" zoomScale="75" zoomScaleNormal="75" zoomScalePageLayoutView="100" workbookViewId="0">
      <selection pane="topLeft" activeCell="C39" activeCellId="0" sqref="C39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39" width="8.57"/>
    <col collapsed="false" customWidth="true" hidden="false" outlineLevel="0" max="2" min="2" style="139" width="67.14"/>
    <col collapsed="false" customWidth="true" hidden="false" outlineLevel="0" max="3" min="3" style="139" width="13.7"/>
    <col collapsed="false" customWidth="true" hidden="true" outlineLevel="0" max="4" min="4" style="139" width="10.29"/>
    <col collapsed="false" customWidth="true" hidden="true" outlineLevel="0" max="5" min="5" style="139" width="13.7"/>
    <col collapsed="false" customWidth="true" hidden="true" outlineLevel="0" max="6" min="6" style="139" width="14.43"/>
    <col collapsed="false" customWidth="true" hidden="true" outlineLevel="0" max="7" min="7" style="139" width="12.71"/>
    <col collapsed="false" customWidth="true" hidden="true" outlineLevel="0" max="8" min="8" style="139" width="4.43"/>
    <col collapsed="false" customWidth="true" hidden="true" outlineLevel="0" max="9" min="9" style="139" width="6.88"/>
    <col collapsed="false" customWidth="true" hidden="true" outlineLevel="0" max="10" min="10" style="139" width="3.3"/>
    <col collapsed="false" customWidth="true" hidden="true" outlineLevel="0" max="11" min="11" style="139" width="11.52"/>
    <col collapsed="false" customWidth="false" hidden="false" outlineLevel="0" max="1024" min="12" style="139" width="9.13"/>
  </cols>
  <sheetData>
    <row r="1" customFormat="false" ht="12.75" hidden="false" customHeight="false" outlineLevel="0" collapsed="false">
      <c r="A1" s="166" t="s">
        <v>169</v>
      </c>
    </row>
    <row r="3" customFormat="false" ht="12.75" hidden="false" customHeight="false" outlineLevel="0" collapsed="false">
      <c r="A3" s="139" t="s">
        <v>170</v>
      </c>
    </row>
    <row r="4" customFormat="false" ht="12.75" hidden="false" customHeight="false" outlineLevel="0" collapsed="false">
      <c r="A4" s="139" t="s">
        <v>171</v>
      </c>
    </row>
    <row r="5" customFormat="false" ht="25.5" hidden="false" customHeight="true" outlineLevel="0" collapsed="false">
      <c r="A5" s="167" t="s">
        <v>172</v>
      </c>
      <c r="B5" s="167"/>
      <c r="C5" s="167"/>
    </row>
    <row r="6" customFormat="false" ht="12.75" hidden="false" customHeight="false" outlineLevel="0" collapsed="false">
      <c r="A6" s="139" t="s">
        <v>173</v>
      </c>
    </row>
    <row r="7" customFormat="false" ht="26.25" hidden="false" customHeight="true" outlineLevel="0" collapsed="false">
      <c r="A7" s="167" t="s">
        <v>174</v>
      </c>
      <c r="B7" s="167"/>
      <c r="C7" s="167"/>
    </row>
    <row r="8" customFormat="false" ht="12.75" hidden="false" customHeight="false" outlineLevel="0" collapsed="false">
      <c r="A8" s="139" t="s">
        <v>175</v>
      </c>
    </row>
    <row r="9" customFormat="false" ht="12.75" hidden="false" customHeight="false" outlineLevel="0" collapsed="false">
      <c r="A9" s="139" t="s">
        <v>176</v>
      </c>
    </row>
    <row r="10" customFormat="false" ht="13.5" hidden="false" customHeight="false" outlineLevel="0" collapsed="false"/>
    <row r="11" customFormat="false" ht="18" hidden="false" customHeight="false" outlineLevel="0" collapsed="false">
      <c r="B11" s="168" t="s">
        <v>177</v>
      </c>
      <c r="C11" s="168"/>
    </row>
    <row r="12" customFormat="false" ht="15" hidden="false" customHeight="false" outlineLevel="0" collapsed="false">
      <c r="B12" s="169" t="s">
        <v>178</v>
      </c>
      <c r="C12" s="170"/>
    </row>
    <row r="13" customFormat="false" ht="15" hidden="false" customHeight="false" outlineLevel="0" collapsed="false">
      <c r="B13" s="171" t="s">
        <v>179</v>
      </c>
      <c r="C13" s="172" t="n">
        <v>2212</v>
      </c>
    </row>
    <row r="14" customFormat="false" ht="15" hidden="false" customHeight="false" outlineLevel="0" collapsed="false">
      <c r="B14" s="173" t="s">
        <v>180</v>
      </c>
      <c r="C14" s="172" t="n">
        <v>3214</v>
      </c>
    </row>
    <row r="15" customFormat="false" ht="14.25" hidden="false" customHeight="false" outlineLevel="0" collapsed="false">
      <c r="B15" s="174" t="s">
        <v>181</v>
      </c>
      <c r="C15" s="175" t="n">
        <v>82</v>
      </c>
    </row>
    <row r="16" customFormat="false" ht="14.25" hidden="false" customHeight="false" outlineLevel="0" collapsed="false">
      <c r="B16" s="174" t="s">
        <v>182</v>
      </c>
      <c r="C16" s="175" t="n">
        <v>2264</v>
      </c>
    </row>
    <row r="17" customFormat="false" ht="14.25" hidden="false" customHeight="false" outlineLevel="0" collapsed="false">
      <c r="B17" s="174" t="s">
        <v>183</v>
      </c>
      <c r="C17" s="175" t="n">
        <v>326</v>
      </c>
    </row>
    <row r="18" customFormat="false" ht="14.25" hidden="false" customHeight="false" outlineLevel="0" collapsed="false">
      <c r="B18" s="174" t="s">
        <v>184</v>
      </c>
      <c r="C18" s="175" t="n">
        <v>24</v>
      </c>
    </row>
    <row r="19" customFormat="false" ht="14.25" hidden="false" customHeight="false" outlineLevel="0" collapsed="false">
      <c r="B19" s="174" t="s">
        <v>185</v>
      </c>
      <c r="C19" s="175" t="n">
        <v>491</v>
      </c>
    </row>
    <row r="20" customFormat="false" ht="14.25" hidden="false" customHeight="false" outlineLevel="0" collapsed="false">
      <c r="B20" s="174" t="s">
        <v>186</v>
      </c>
      <c r="C20" s="175" t="n">
        <v>1</v>
      </c>
    </row>
    <row r="21" customFormat="false" ht="14.25" hidden="false" customHeight="false" outlineLevel="0" collapsed="false">
      <c r="B21" s="174" t="s">
        <v>187</v>
      </c>
      <c r="C21" s="175" t="n">
        <v>26</v>
      </c>
    </row>
    <row r="22" customFormat="false" ht="14.25" hidden="false" customHeight="false" outlineLevel="0" collapsed="false">
      <c r="B22" s="176" t="s">
        <v>188</v>
      </c>
      <c r="C22" s="177" t="n">
        <v>0</v>
      </c>
    </row>
    <row r="23" customFormat="false" ht="15" hidden="false" customHeight="false" outlineLevel="0" collapsed="false">
      <c r="A23" s="139" t="s">
        <v>189</v>
      </c>
      <c r="B23" s="169" t="s">
        <v>190</v>
      </c>
      <c r="C23" s="170"/>
    </row>
    <row r="24" customFormat="false" ht="14.25" hidden="false" customHeight="false" outlineLevel="0" collapsed="false">
      <c r="B24" s="178" t="s">
        <v>191</v>
      </c>
      <c r="C24" s="179" t="n">
        <v>6456</v>
      </c>
    </row>
    <row r="25" customFormat="false" ht="14.25" hidden="false" customHeight="false" outlineLevel="0" collapsed="false">
      <c r="B25" s="174" t="s">
        <v>192</v>
      </c>
      <c r="C25" s="175" t="n">
        <v>5454</v>
      </c>
    </row>
    <row r="26" customFormat="false" ht="14.25" hidden="false" customHeight="false" outlineLevel="0" collapsed="false">
      <c r="B26" s="174" t="s">
        <v>193</v>
      </c>
      <c r="C26" s="175" t="n">
        <v>-1002</v>
      </c>
    </row>
    <row r="27" customFormat="false" ht="14.25" hidden="false" customHeight="false" outlineLevel="0" collapsed="false">
      <c r="B27" s="180"/>
      <c r="C27" s="181"/>
    </row>
    <row r="28" customFormat="false" ht="15" hidden="false" customHeight="false" outlineLevel="0" collapsed="false">
      <c r="B28" s="182" t="s">
        <v>194</v>
      </c>
      <c r="C28" s="183" t="n">
        <f aca="false">MEDIAN(C13,C14)/MEDIAN(C24,C25)</f>
        <v>0.455583543240974</v>
      </c>
      <c r="G28" s="139" t="n">
        <f aca="false">12/C28</f>
        <v>26.3398451898268</v>
      </c>
    </row>
    <row r="29" customFormat="false" ht="15" hidden="false" customHeight="false" outlineLevel="0" collapsed="false">
      <c r="B29" s="171" t="s">
        <v>195</v>
      </c>
      <c r="C29" s="183" t="n">
        <f aca="false">C16/MEDIAN(C24,C25)</f>
        <v>0.380184718723761</v>
      </c>
    </row>
    <row r="30" customFormat="false" ht="15" hidden="false" customHeight="false" outlineLevel="0" collapsed="false">
      <c r="B30" s="184" t="s">
        <v>196</v>
      </c>
      <c r="C30" s="185" t="n">
        <v>360</v>
      </c>
    </row>
    <row r="31" customFormat="false" ht="15" hidden="false" customHeight="false" outlineLevel="0" collapsed="false">
      <c r="B31" s="171" t="s">
        <v>197</v>
      </c>
      <c r="C31" s="185" t="n">
        <v>10</v>
      </c>
    </row>
    <row r="32" customFormat="false" ht="15" hidden="false" customHeight="false" outlineLevel="0" collapsed="false">
      <c r="B32" s="171" t="s">
        <v>198</v>
      </c>
      <c r="C32" s="185" t="n">
        <v>30</v>
      </c>
      <c r="G32" s="139" t="n">
        <f aca="false">TRUNC(G37)</f>
        <v>2</v>
      </c>
    </row>
    <row r="33" customFormat="false" ht="15" hidden="false" customHeight="false" outlineLevel="0" collapsed="false">
      <c r="B33" s="171" t="s">
        <v>199</v>
      </c>
      <c r="C33" s="185" t="n">
        <v>30</v>
      </c>
    </row>
    <row r="34" s="166" customFormat="true" ht="15" hidden="false" customHeight="false" outlineLevel="0" collapsed="false">
      <c r="B34" s="171" t="s">
        <v>200</v>
      </c>
      <c r="C34" s="186" t="n">
        <f aca="false">MEDIAN(C24,C25)</f>
        <v>5955</v>
      </c>
    </row>
    <row r="35" s="166" customFormat="true" ht="15" hidden="false" customHeight="false" outlineLevel="0" collapsed="false">
      <c r="B35" s="171" t="s">
        <v>133</v>
      </c>
      <c r="C35" s="187" t="n">
        <v>0.08</v>
      </c>
      <c r="K35" s="166" t="n">
        <f aca="false">IF(C39&gt;12,C39-12,C39)</f>
        <v>14.3398451898268</v>
      </c>
    </row>
    <row r="36" s="166" customFormat="true" ht="15" hidden="false" customHeight="false" outlineLevel="0" collapsed="false">
      <c r="B36" s="171" t="s">
        <v>201</v>
      </c>
      <c r="C36" s="187" t="n">
        <v>0.5</v>
      </c>
      <c r="K36" s="166" t="e">
        <f aca="false">IF(#REF!&gt;12,#REF!-12,#REF!)</f>
        <v>#REF!</v>
      </c>
    </row>
    <row r="37" s="166" customFormat="true" ht="15" hidden="false" customHeight="false" outlineLevel="0" collapsed="false">
      <c r="B37" s="171" t="s">
        <v>202</v>
      </c>
      <c r="C37" s="188" t="n">
        <f aca="false">((1/C28)-TRUNC(E37))</f>
        <v>0.19498709915223</v>
      </c>
      <c r="D37" s="166" t="n">
        <f aca="false">TRUNC(E37)</f>
        <v>2</v>
      </c>
      <c r="E37" s="166" t="n">
        <f aca="false">1/C28</f>
        <v>2.19498709915223</v>
      </c>
      <c r="F37" s="166" t="n">
        <f aca="false">((1/C28)-TRUNC(E37))</f>
        <v>0.19498709915223</v>
      </c>
      <c r="G37" s="166" t="n">
        <f aca="false">12*F37</f>
        <v>2.33984518982676</v>
      </c>
      <c r="K37" s="166" t="e">
        <f aca="false">IF(#REF!&gt;12,#REF!-12,#REF!)</f>
        <v>#REF!</v>
      </c>
    </row>
    <row r="38" s="166" customFormat="true" ht="15" hidden="false" customHeight="false" outlineLevel="0" collapsed="false">
      <c r="B38" s="169" t="s">
        <v>203</v>
      </c>
      <c r="C38" s="189" t="n">
        <f aca="false">30+D38</f>
        <v>36</v>
      </c>
      <c r="D38" s="166" t="n">
        <f aca="false">3*D37</f>
        <v>6</v>
      </c>
      <c r="G38" s="166" t="n">
        <f aca="false">G37/12*40/360</f>
        <v>0.0216652332391366</v>
      </c>
      <c r="K38" s="166" t="e">
        <f aca="false">IF(#REF!&gt;12,#REF!-12,#REF!)</f>
        <v>#REF!</v>
      </c>
    </row>
    <row r="39" s="166" customFormat="true" ht="15.75" hidden="false" customHeight="false" outlineLevel="0" collapsed="false">
      <c r="B39" s="190" t="s">
        <v>204</v>
      </c>
      <c r="C39" s="191" t="n">
        <f aca="false">12/C28</f>
        <v>26.3398451898268</v>
      </c>
      <c r="K39" s="166" t="e">
        <f aca="false">IF(#REF!&gt;12,#REF!-12,#REF!)</f>
        <v>#REF!</v>
      </c>
    </row>
    <row r="40" customFormat="false" ht="12.75" hidden="false" customHeight="false" outlineLevel="0" collapsed="false">
      <c r="K40" s="139" t="e">
        <f aca="false">IF(K39&gt;12,K39-12,K39)</f>
        <v>#REF!</v>
      </c>
    </row>
    <row r="41" customFormat="false" ht="12.75" hidden="false" customHeight="false" outlineLevel="0" collapsed="false">
      <c r="K41" s="139" t="e">
        <f aca="false">IF(K40&gt;12,K40-12,K40)</f>
        <v>#REF!</v>
      </c>
    </row>
  </sheetData>
  <mergeCells count="3">
    <mergeCell ref="A5:C5"/>
    <mergeCell ref="A7:C7"/>
    <mergeCell ref="B11:C11"/>
  </mergeCells>
  <printOptions headings="false" gridLines="false" gridLinesSet="true" horizontalCentered="false" verticalCentered="false"/>
  <pageMargins left="0.905555555555556" right="0.511805555555555" top="0.747916666666667" bottom="0.747916666666667" header="0.511805555555555" footer="0.511805555555555"/>
  <pageSetup paperSize="9" scale="9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2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C10" activeCellId="0" sqref="C10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41.87"/>
    <col collapsed="false" customWidth="true" hidden="false" outlineLevel="0" max="2" min="2" style="0" width="5.57"/>
    <col collapsed="false" customWidth="true" hidden="false" outlineLevel="0" max="4" min="4" style="0" width="9.71"/>
    <col collapsed="false" customWidth="true" hidden="false" outlineLevel="0" max="5" min="5" style="192" width="8"/>
    <col collapsed="false" customWidth="true" hidden="false" outlineLevel="0" max="6" min="6" style="0" width="9.71"/>
  </cols>
  <sheetData>
    <row r="1" s="194" customFormat="true" ht="14.25" hidden="false" customHeight="false" outlineLevel="0" collapsed="false">
      <c r="A1" s="140" t="s">
        <v>112</v>
      </c>
      <c r="B1" s="193"/>
      <c r="C1" s="193"/>
      <c r="E1" s="195"/>
    </row>
    <row r="2" s="194" customFormat="true" ht="14.25" hidden="false" customHeight="false" outlineLevel="0" collapsed="false">
      <c r="A2" s="141" t="s">
        <v>205</v>
      </c>
      <c r="B2" s="193"/>
      <c r="C2" s="193"/>
      <c r="E2" s="195"/>
    </row>
    <row r="3" s="194" customFormat="true" ht="14.25" hidden="false" customHeight="false" outlineLevel="0" collapsed="false">
      <c r="A3" s="196" t="s">
        <v>206</v>
      </c>
      <c r="B3" s="193"/>
      <c r="C3" s="193"/>
      <c r="E3" s="195"/>
    </row>
    <row r="4" s="194" customFormat="true" ht="14.25" hidden="false" customHeight="false" outlineLevel="0" collapsed="false">
      <c r="A4" s="141"/>
      <c r="B4" s="193"/>
      <c r="C4" s="193"/>
      <c r="E4" s="195"/>
    </row>
    <row r="5" s="194" customFormat="true" ht="15" hidden="false" customHeight="false" outlineLevel="0" collapsed="false">
      <c r="B5" s="193"/>
      <c r="C5" s="193"/>
      <c r="E5" s="195"/>
    </row>
    <row r="6" customFormat="false" ht="15.75" hidden="false" customHeight="false" outlineLevel="0" collapsed="false">
      <c r="A6" s="197" t="s">
        <v>207</v>
      </c>
      <c r="B6" s="197"/>
      <c r="C6" s="197"/>
      <c r="D6" s="197"/>
      <c r="E6" s="197"/>
      <c r="F6" s="197"/>
    </row>
    <row r="7" customFormat="false" ht="16.5" hidden="false" customHeight="false" outlineLevel="0" collapsed="false">
      <c r="A7" s="198"/>
      <c r="B7" s="199"/>
      <c r="C7" s="199"/>
      <c r="D7" s="199"/>
      <c r="E7" s="199"/>
      <c r="F7" s="200"/>
    </row>
    <row r="8" customFormat="false" ht="15" hidden="false" customHeight="false" outlineLevel="0" collapsed="false">
      <c r="A8" s="201"/>
      <c r="B8" s="193"/>
      <c r="C8" s="193"/>
      <c r="D8" s="202" t="s">
        <v>208</v>
      </c>
      <c r="E8" s="202"/>
      <c r="F8" s="202"/>
      <c r="G8" s="194"/>
      <c r="H8" s="194"/>
    </row>
    <row r="9" customFormat="false" ht="15" hidden="false" customHeight="false" outlineLevel="0" collapsed="false">
      <c r="A9" s="180"/>
      <c r="B9" s="194"/>
      <c r="C9" s="194"/>
      <c r="D9" s="203" t="s">
        <v>209</v>
      </c>
      <c r="E9" s="204" t="s">
        <v>210</v>
      </c>
      <c r="F9" s="205" t="s">
        <v>211</v>
      </c>
      <c r="G9" s="194"/>
      <c r="H9" s="194"/>
    </row>
    <row r="10" customFormat="false" ht="14.25" hidden="false" customHeight="false" outlineLevel="0" collapsed="false">
      <c r="A10" s="206" t="s">
        <v>212</v>
      </c>
      <c r="B10" s="207" t="s">
        <v>213</v>
      </c>
      <c r="C10" s="208" t="n">
        <f aca="false">E10</f>
        <v>0.0508</v>
      </c>
      <c r="D10" s="209" t="n">
        <v>0.0297</v>
      </c>
      <c r="E10" s="210" t="n">
        <v>0.0508</v>
      </c>
      <c r="F10" s="211" t="n">
        <v>0.0627</v>
      </c>
      <c r="G10" s="194"/>
      <c r="H10" s="194"/>
    </row>
    <row r="11" customFormat="false" ht="14.25" hidden="false" customHeight="false" outlineLevel="0" collapsed="false">
      <c r="A11" s="212" t="s">
        <v>214</v>
      </c>
      <c r="B11" s="213" t="s">
        <v>215</v>
      </c>
      <c r="C11" s="214" t="n">
        <f aca="false">E11</f>
        <v>0.0133</v>
      </c>
      <c r="D11" s="209" t="n">
        <f aca="false">0.3%+0.56%</f>
        <v>0.0086</v>
      </c>
      <c r="E11" s="210" t="n">
        <f aca="false">0.48%+0.85%</f>
        <v>0.0133</v>
      </c>
      <c r="F11" s="211" t="n">
        <f aca="false">0.82%+0.89%</f>
        <v>0.0171</v>
      </c>
      <c r="G11" s="194"/>
      <c r="H11" s="194"/>
    </row>
    <row r="12" customFormat="false" ht="14.25" hidden="false" customHeight="false" outlineLevel="0" collapsed="false">
      <c r="A12" s="212" t="s">
        <v>216</v>
      </c>
      <c r="B12" s="213" t="s">
        <v>217</v>
      </c>
      <c r="C12" s="214" t="n">
        <f aca="false">E12</f>
        <v>0.1085</v>
      </c>
      <c r="D12" s="209" t="n">
        <v>0.0778</v>
      </c>
      <c r="E12" s="210" t="n">
        <v>0.1085</v>
      </c>
      <c r="F12" s="211" t="n">
        <v>0.1355</v>
      </c>
      <c r="G12" s="194"/>
      <c r="H12" s="194"/>
    </row>
    <row r="13" customFormat="false" ht="14.25" hidden="false" customHeight="false" outlineLevel="0" collapsed="false">
      <c r="A13" s="212" t="s">
        <v>218</v>
      </c>
      <c r="B13" s="213" t="s">
        <v>219</v>
      </c>
      <c r="C13" s="215" t="n">
        <f aca="false">E13/12</f>
        <v>0.00541666666666667</v>
      </c>
      <c r="D13" s="209" t="s">
        <v>220</v>
      </c>
      <c r="E13" s="216" t="n">
        <v>0.065</v>
      </c>
      <c r="F13" s="217"/>
      <c r="G13" s="194"/>
      <c r="H13" s="194"/>
    </row>
    <row r="14" customFormat="false" ht="14.25" hidden="false" customHeight="false" outlineLevel="0" collapsed="false">
      <c r="A14" s="212" t="s">
        <v>221</v>
      </c>
      <c r="B14" s="218" t="s">
        <v>222</v>
      </c>
      <c r="C14" s="214" t="n">
        <v>0.02</v>
      </c>
      <c r="D14" s="219" t="s">
        <v>223</v>
      </c>
      <c r="E14" s="220" t="n">
        <v>2</v>
      </c>
      <c r="F14" s="221"/>
      <c r="G14" s="194"/>
      <c r="H14" s="194"/>
    </row>
    <row r="15" customFormat="false" ht="15" hidden="false" customHeight="false" outlineLevel="0" collapsed="false">
      <c r="A15" s="222" t="s">
        <v>224</v>
      </c>
      <c r="B15" s="218"/>
      <c r="C15" s="223" t="n">
        <v>0.0365</v>
      </c>
      <c r="D15" s="174"/>
      <c r="E15" s="224"/>
      <c r="F15" s="221"/>
      <c r="G15" s="194"/>
      <c r="H15" s="194"/>
    </row>
    <row r="16" customFormat="false" ht="14.25" hidden="false" customHeight="false" outlineLevel="0" collapsed="false">
      <c r="A16" s="225" t="s">
        <v>225</v>
      </c>
      <c r="B16" s="226"/>
      <c r="C16" s="227"/>
      <c r="D16" s="174"/>
      <c r="E16" s="224"/>
      <c r="F16" s="221"/>
      <c r="G16" s="194"/>
      <c r="H16" s="194"/>
    </row>
    <row r="17" customFormat="false" ht="15" hidden="false" customHeight="false" outlineLevel="0" collapsed="false">
      <c r="A17" s="228" t="s">
        <v>226</v>
      </c>
      <c r="B17" s="229"/>
      <c r="C17" s="230"/>
      <c r="D17" s="174"/>
      <c r="E17" s="224"/>
      <c r="F17" s="221"/>
      <c r="G17" s="194"/>
      <c r="H17" s="194"/>
    </row>
    <row r="18" customFormat="false" ht="15.75" hidden="false" customHeight="false" outlineLevel="0" collapsed="false">
      <c r="A18" s="231" t="s">
        <v>227</v>
      </c>
      <c r="B18" s="232"/>
      <c r="C18" s="233" t="n">
        <f aca="false">ROUND((((1+C10+C11)*(1+C12)*(1+C13))/(1-(C14+C15))-1),4)</f>
        <v>0.257</v>
      </c>
      <c r="D18" s="234" t="n">
        <v>0.2143</v>
      </c>
      <c r="E18" s="235" t="n">
        <v>0.2717</v>
      </c>
      <c r="F18" s="236" t="n">
        <v>0.3362</v>
      </c>
      <c r="G18" s="194"/>
      <c r="H18" s="194"/>
    </row>
    <row r="19" customFormat="false" ht="14.25" hidden="false" customHeight="false" outlineLevel="0" collapsed="false"/>
    <row r="20" customFormat="false" ht="14.25" hidden="false" customHeight="false" outlineLevel="0" collapsed="false"/>
    <row r="21" customFormat="false" ht="14.25" hidden="false" customHeight="false" outlineLevel="0" collapsed="false"/>
    <row r="22" customFormat="false" ht="14.25" hidden="false" customHeight="false" outlineLevel="0" collapsed="false"/>
  </sheetData>
  <mergeCells count="3">
    <mergeCell ref="A6:F6"/>
    <mergeCell ref="D8:F8"/>
    <mergeCell ref="B14:B15"/>
  </mergeCells>
  <printOptions headings="false" gridLines="false" gridLinesSet="true" horizontalCentered="false" verticalCentered="false"/>
  <pageMargins left="0.905555555555556" right="0.511805555555555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7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9.13671875" defaultRowHeight="19.5" zeroHeight="false" outlineLevelRow="0" outlineLevelCol="0"/>
  <cols>
    <col collapsed="false" customWidth="true" hidden="false" outlineLevel="0" max="1" min="1" style="139" width="24.57"/>
    <col collapsed="false" customWidth="true" hidden="false" outlineLevel="0" max="2" min="2" style="139" width="20.86"/>
    <col collapsed="false" customWidth="false" hidden="false" outlineLevel="0" max="1024" min="3" style="139" width="9.13"/>
  </cols>
  <sheetData>
    <row r="1" customFormat="false" ht="19.5" hidden="false" customHeight="true" outlineLevel="0" collapsed="false">
      <c r="A1" s="237" t="s">
        <v>228</v>
      </c>
      <c r="B1" s="237"/>
    </row>
    <row r="2" s="166" customFormat="true" ht="19.5" hidden="false" customHeight="true" outlineLevel="0" collapsed="false">
      <c r="A2" s="238" t="s">
        <v>229</v>
      </c>
      <c r="B2" s="239" t="s">
        <v>230</v>
      </c>
    </row>
    <row r="3" customFormat="false" ht="19.5" hidden="false" customHeight="true" outlineLevel="0" collapsed="false">
      <c r="A3" s="240" t="n">
        <v>1</v>
      </c>
      <c r="B3" s="241" t="n">
        <v>33.63</v>
      </c>
    </row>
    <row r="4" customFormat="false" ht="19.5" hidden="false" customHeight="true" outlineLevel="0" collapsed="false">
      <c r="A4" s="240" t="n">
        <v>2</v>
      </c>
      <c r="B4" s="241" t="n">
        <v>43.13</v>
      </c>
    </row>
    <row r="5" customFormat="false" ht="19.5" hidden="false" customHeight="true" outlineLevel="0" collapsed="false">
      <c r="A5" s="240" t="n">
        <v>3</v>
      </c>
      <c r="B5" s="241" t="n">
        <v>48.68</v>
      </c>
    </row>
    <row r="6" customFormat="false" ht="19.5" hidden="false" customHeight="true" outlineLevel="0" collapsed="false">
      <c r="A6" s="240" t="n">
        <v>4</v>
      </c>
      <c r="B6" s="241" t="n">
        <v>52.62</v>
      </c>
    </row>
    <row r="7" customFormat="false" ht="19.5" hidden="false" customHeight="true" outlineLevel="0" collapsed="false">
      <c r="A7" s="240" t="n">
        <v>5</v>
      </c>
      <c r="B7" s="241" t="n">
        <v>55.68</v>
      </c>
    </row>
    <row r="8" customFormat="false" ht="19.5" hidden="false" customHeight="true" outlineLevel="0" collapsed="false">
      <c r="A8" s="240" t="n">
        <v>6</v>
      </c>
      <c r="B8" s="241" t="n">
        <v>58.18</v>
      </c>
    </row>
    <row r="9" customFormat="false" ht="19.5" hidden="false" customHeight="true" outlineLevel="0" collapsed="false">
      <c r="A9" s="240" t="n">
        <v>7</v>
      </c>
      <c r="B9" s="241" t="n">
        <v>60.29</v>
      </c>
    </row>
    <row r="10" customFormat="false" ht="19.5" hidden="false" customHeight="true" outlineLevel="0" collapsed="false">
      <c r="A10" s="240" t="n">
        <v>8</v>
      </c>
      <c r="B10" s="241" t="n">
        <v>62.12</v>
      </c>
    </row>
    <row r="11" customFormat="false" ht="19.5" hidden="false" customHeight="true" outlineLevel="0" collapsed="false">
      <c r="A11" s="240" t="n">
        <v>9</v>
      </c>
      <c r="B11" s="241" t="n">
        <v>63.73</v>
      </c>
    </row>
    <row r="12" customFormat="false" ht="19.5" hidden="false" customHeight="true" outlineLevel="0" collapsed="false">
      <c r="A12" s="240" t="n">
        <v>10</v>
      </c>
      <c r="B12" s="241" t="n">
        <v>65.18</v>
      </c>
    </row>
    <row r="13" customFormat="false" ht="19.5" hidden="false" customHeight="true" outlineLevel="0" collapsed="false">
      <c r="A13" s="240" t="n">
        <v>11</v>
      </c>
      <c r="B13" s="241" t="n">
        <v>66.48</v>
      </c>
    </row>
    <row r="14" customFormat="false" ht="19.5" hidden="false" customHeight="true" outlineLevel="0" collapsed="false">
      <c r="A14" s="240" t="n">
        <v>12</v>
      </c>
      <c r="B14" s="241" t="n">
        <v>67.67</v>
      </c>
    </row>
    <row r="15" customFormat="false" ht="19.5" hidden="false" customHeight="true" outlineLevel="0" collapsed="false">
      <c r="A15" s="240" t="n">
        <v>13</v>
      </c>
      <c r="B15" s="241" t="n">
        <v>68.77</v>
      </c>
    </row>
    <row r="16" customFormat="false" ht="19.5" hidden="false" customHeight="true" outlineLevel="0" collapsed="false">
      <c r="A16" s="240" t="n">
        <v>14</v>
      </c>
      <c r="B16" s="241" t="n">
        <v>69.79</v>
      </c>
    </row>
    <row r="17" customFormat="false" ht="19.5" hidden="false" customHeight="true" outlineLevel="0" collapsed="false">
      <c r="A17" s="242" t="n">
        <v>15</v>
      </c>
      <c r="B17" s="243" t="n">
        <v>70.73</v>
      </c>
    </row>
  </sheetData>
  <mergeCells count="1">
    <mergeCell ref="A1:B1"/>
  </mergeCells>
  <printOptions headings="false" gridLines="false" gridLinesSet="true" horizontalCentered="false" verticalCentered="false"/>
  <pageMargins left="0.905555555555556" right="0.511805555555555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17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C17" activeCellId="0" sqref="C17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39" width="70.42"/>
    <col collapsed="false" customWidth="false" hidden="false" outlineLevel="0" max="3" min="2" style="139" width="9.13"/>
    <col collapsed="false" customWidth="true" hidden="false" outlineLevel="0" max="4" min="4" style="139" width="12.86"/>
    <col collapsed="false" customWidth="false" hidden="false" outlineLevel="0" max="1024" min="5" style="139" width="9.13"/>
  </cols>
  <sheetData>
    <row r="1" customFormat="false" ht="18" hidden="false" customHeight="false" outlineLevel="0" collapsed="false">
      <c r="A1" s="244" t="s">
        <v>231</v>
      </c>
    </row>
    <row r="2" customFormat="false" ht="12.75" hidden="false" customHeight="false" outlineLevel="0" collapsed="false">
      <c r="A2" s="245"/>
    </row>
    <row r="3" customFormat="false" ht="12.75" hidden="false" customHeight="false" outlineLevel="0" collapsed="false">
      <c r="A3" s="245" t="s">
        <v>232</v>
      </c>
    </row>
    <row r="4" customFormat="false" ht="12.75" hidden="false" customHeight="false" outlineLevel="0" collapsed="false">
      <c r="A4" s="245"/>
    </row>
    <row r="5" customFormat="false" ht="12.75" hidden="false" customHeight="false" outlineLevel="0" collapsed="false">
      <c r="A5" s="245"/>
    </row>
    <row r="6" customFormat="false" ht="12.75" hidden="false" customHeight="false" outlineLevel="0" collapsed="false">
      <c r="A6" s="245"/>
    </row>
    <row r="7" customFormat="false" ht="12.75" hidden="false" customHeight="false" outlineLevel="0" collapsed="false">
      <c r="A7" s="245"/>
    </row>
    <row r="8" customFormat="false" ht="12.75" hidden="false" customHeight="false" outlineLevel="0" collapsed="false">
      <c r="A8" s="245"/>
    </row>
    <row r="9" customFormat="false" ht="12.75" hidden="false" customHeight="false" outlineLevel="0" collapsed="false">
      <c r="A9" s="245"/>
    </row>
    <row r="10" customFormat="false" ht="12.75" hidden="false" customHeight="false" outlineLevel="0" collapsed="false">
      <c r="A10" s="245"/>
    </row>
    <row r="11" customFormat="false" ht="12.75" hidden="false" customHeight="false" outlineLevel="0" collapsed="false">
      <c r="A11" s="245"/>
    </row>
    <row r="12" customFormat="false" ht="19.5" hidden="false" customHeight="false" outlineLevel="0" collapsed="false">
      <c r="A12" s="246" t="s">
        <v>233</v>
      </c>
    </row>
    <row r="13" customFormat="false" ht="15" hidden="false" customHeight="false" outlineLevel="0" collapsed="false">
      <c r="A13" s="246" t="s">
        <v>234</v>
      </c>
    </row>
    <row r="14" customFormat="false" ht="15" hidden="false" customHeight="false" outlineLevel="0" collapsed="false">
      <c r="A14" s="246" t="s">
        <v>235</v>
      </c>
    </row>
    <row r="15" customFormat="false" ht="19.5" hidden="false" customHeight="false" outlineLevel="0" collapsed="false">
      <c r="A15" s="246" t="s">
        <v>236</v>
      </c>
    </row>
    <row r="16" customFormat="false" ht="19.5" hidden="false" customHeight="false" outlineLevel="0" collapsed="false">
      <c r="A16" s="246" t="s">
        <v>237</v>
      </c>
    </row>
    <row r="17" customFormat="false" ht="15.75" hidden="false" customHeight="false" outlineLevel="0" collapsed="false">
      <c r="A17" s="247" t="s">
        <v>238</v>
      </c>
    </row>
  </sheetData>
  <printOptions headings="false" gridLines="false" gridLinesSet="true" horizontalCentered="false" verticalCentered="false"/>
  <pageMargins left="0.905555555555556" right="0.511805555555555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297</TotalTime>
  <Application>LibreOffice/6.4.3.2$Windows_x86 LibreOffice_project/747b5d0ebf89f41c860ec2a39efd7cb15b54f2d8</Application>
  <Company>dmlu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2000-12-13T10:02:50Z</dcterms:created>
  <dc:creator>Flavia Burmeister Martins</dc:creator>
  <dc:description/>
  <dc:language>pt-BR</dc:language>
  <cp:lastModifiedBy/>
  <cp:lastPrinted>2020-06-10T14:06:41Z</cp:lastPrinted>
  <dcterms:modified xsi:type="dcterms:W3CDTF">2020-06-10T19:20:22Z</dcterms:modified>
  <cp:revision>5</cp:revision>
  <dc:subject/>
  <dc:title>Planilha de Custos Coleta e Transporte RSU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dmlu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